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Dashboard" sheetId="2" state="visible" r:id="rId4"/>
    <sheet name="Find" sheetId="3" state="visible" r:id="rId5"/>
    <sheet name="Manifest" sheetId="4" state="visible" r:id="rId6"/>
    <sheet name="Equipment" sheetId="5" state="visible" r:id="rId7"/>
    <sheet name="Lists" sheetId="6" state="visible" r:id="rId8"/>
    <sheet name="Containers" sheetId="7" state="visible" r:id="rId9"/>
    <sheet name="Vehicles" sheetId="8" state="visible" r:id="rId10"/>
  </sheets>
  <definedNames>
    <definedName function="false" hidden="false" localSheetId="3" name="_xlnm.Print_Area" vbProcedure="false">Manifest!$A$1:$H$75</definedName>
    <definedName function="false" hidden="false" localSheetId="3" name="_xlnm.Print_Titles" vbProcedure="false">Manifest!$12:$12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<sst xmlns="http://schemas.openxmlformats.org/spreadsheetml/2006/main" count="827" uniqueCount="316">
  <si>
    <t xml:space="preserve">Equipment, Container &amp; Vehicle Master Tracker</t>
  </si>
  <si>
    <t xml:space="preserve">Sample workbook by King AI (usekingai.com/samples). All names, serials and data are fake.</t>
  </si>
  <si>
    <t xml:space="preserve">Equipment</t>
  </si>
  <si>
    <t xml:space="preserve">One row per item: who is responsible, where it is stored, disposition (Ship / Stay), the container or vehicle it travels in, destination, service dates. Grey columns are formulas; do not type in them.</t>
  </si>
  <si>
    <t xml:space="preserve">Containers</t>
  </si>
  <si>
    <t xml:space="preserve">One row per container. Serial numbers can be filled in later. Item count and destination checks are automatic.</t>
  </si>
  <si>
    <t xml:space="preserve">Vehicles</t>
  </si>
  <si>
    <t xml:space="preserve">One row per vehicle (12). Vehicle numbers can be filled in later. Tracked separately from containers.</t>
  </si>
  <si>
    <t xml:space="preserve">Dashboard</t>
  </si>
  <si>
    <t xml:space="preserve">Live counts by status, storage location, destination, person, plus overdue service and data problems.</t>
  </si>
  <si>
    <t xml:space="preserve">Find</t>
  </si>
  <si>
    <t xml:space="preserve">Pick a field (Storage location, Person, Container, Vehicle, Destination, Status) and a value: the matching equipment lists itself.</t>
  </si>
  <si>
    <t xml:space="preserve">Manifest</t>
  </si>
  <si>
    <t xml:space="preserve">Pick a container or vehicle ID: a printable packing manifest (set to fit one page wide).</t>
  </si>
  <si>
    <t xml:space="preserve">Lists</t>
  </si>
  <si>
    <t xml:space="preserve">The dropdown values. Add a storage location, person or destination here and every dropdown picks it up.</t>
  </si>
  <si>
    <t xml:space="preserve">Importing</t>
  </si>
  <si>
    <t xml:space="preserve">Paste each person's sheet into Equipment columns A-G (ID, item, category, serial, responsible, storage, status). The manual columns H onward stay with the row; keep the Equipment ID unique so rows can be matched.</t>
  </si>
  <si>
    <t xml:space="preserve">Colours</t>
  </si>
  <si>
    <t xml:space="preserve">Red = overdue service or a data problem; amber = service due within 30 days; green = delivered.</t>
  </si>
  <si>
    <t xml:space="preserve">At a glance</t>
  </si>
  <si>
    <t xml:space="preserve">Equipment by status</t>
  </si>
  <si>
    <t xml:space="preserve">By destination</t>
  </si>
  <si>
    <t xml:space="preserve">Measure</t>
  </si>
  <si>
    <t xml:space="preserve">Count</t>
  </si>
  <si>
    <t xml:space="preserve">Status</t>
  </si>
  <si>
    <t xml:space="preserve">Items</t>
  </si>
  <si>
    <t xml:space="preserve">Shipping</t>
  </si>
  <si>
    <t xml:space="preserve">Destination</t>
  </si>
  <si>
    <t xml:space="preserve">Total equipment items</t>
  </si>
  <si>
    <t xml:space="preserve">In storage</t>
  </si>
  <si>
    <t xml:space="preserve">Site North</t>
  </si>
  <si>
    <t xml:space="preserve">Packed</t>
  </si>
  <si>
    <t xml:space="preserve">Site South</t>
  </si>
  <si>
    <t xml:space="preserve">Staying</t>
  </si>
  <si>
    <t xml:space="preserve">In transit</t>
  </si>
  <si>
    <t xml:space="preserve">Site East</t>
  </si>
  <si>
    <t xml:space="preserve">No disposition yet</t>
  </si>
  <si>
    <t xml:space="preserve">Delivered</t>
  </si>
  <si>
    <t xml:space="preserve">Site West</t>
  </si>
  <si>
    <t xml:space="preserve">Items with a problem (Check column)</t>
  </si>
  <si>
    <t xml:space="preserve">Forward Base 1</t>
  </si>
  <si>
    <t xml:space="preserve">Equipment service overdue</t>
  </si>
  <si>
    <t xml:space="preserve">In repair</t>
  </si>
  <si>
    <t xml:space="preserve">Forward Base 2</t>
  </si>
  <si>
    <t xml:space="preserve">Equipment service due in 30 days</t>
  </si>
  <si>
    <t xml:space="preserve">Missing</t>
  </si>
  <si>
    <t xml:space="preserve">Vehicle service overdue</t>
  </si>
  <si>
    <t xml:space="preserve">Container inspection overdue</t>
  </si>
  <si>
    <t xml:space="preserve">Containers missing serial</t>
  </si>
  <si>
    <t xml:space="preserve">Vehicles missing number</t>
  </si>
  <si>
    <t xml:space="preserve">By storage location</t>
  </si>
  <si>
    <t xml:space="preserve">By person responsible</t>
  </si>
  <si>
    <t xml:space="preserve">Container status</t>
  </si>
  <si>
    <t xml:space="preserve">Storage location</t>
  </si>
  <si>
    <t xml:space="preserve">Person</t>
  </si>
  <si>
    <t xml:space="preserve">Problems</t>
  </si>
  <si>
    <t xml:space="preserve">Storage A</t>
  </si>
  <si>
    <t xml:space="preserve">J. Alvarez</t>
  </si>
  <si>
    <t xml:space="preserve">Open / packing</t>
  </si>
  <si>
    <t xml:space="preserve">Storage B</t>
  </si>
  <si>
    <t xml:space="preserve">M. Chen</t>
  </si>
  <si>
    <t xml:space="preserve">Sealed</t>
  </si>
  <si>
    <t xml:space="preserve">Storage C</t>
  </si>
  <si>
    <t xml:space="preserve">R. Patel</t>
  </si>
  <si>
    <t xml:space="preserve">Storage D</t>
  </si>
  <si>
    <t xml:space="preserve">S. Okafor</t>
  </si>
  <si>
    <t xml:space="preserve">Storage E</t>
  </si>
  <si>
    <t xml:space="preserve">T. Nguyen</t>
  </si>
  <si>
    <t xml:space="preserve">Empty</t>
  </si>
  <si>
    <t xml:space="preserve">Storage F</t>
  </si>
  <si>
    <t xml:space="preserve">K. Brooks</t>
  </si>
  <si>
    <t xml:space="preserve">Storage G</t>
  </si>
  <si>
    <t xml:space="preserve">D. Kowalski</t>
  </si>
  <si>
    <t xml:space="preserve">Storage H</t>
  </si>
  <si>
    <t xml:space="preserve">L. Ramirez</t>
  </si>
  <si>
    <t xml:space="preserve">Vehicle status</t>
  </si>
  <si>
    <t xml:space="preserve">Storage I</t>
  </si>
  <si>
    <t xml:space="preserve">P. Hughes</t>
  </si>
  <si>
    <t xml:space="preserve">Storage J</t>
  </si>
  <si>
    <t xml:space="preserve">A. Fischer</t>
  </si>
  <si>
    <t xml:space="preserve">Available</t>
  </si>
  <si>
    <t xml:space="preserve">Storage K</t>
  </si>
  <si>
    <t xml:space="preserve">Loading</t>
  </si>
  <si>
    <t xml:space="preserve">Storage L</t>
  </si>
  <si>
    <t xml:space="preserve">In maintenance</t>
  </si>
  <si>
    <t xml:space="preserve">Find equipment</t>
  </si>
  <si>
    <t xml:space="preserve">Choose what to search by and a value. Matching equipment lists below (up to 200 rows).</t>
  </si>
  <si>
    <t xml:space="preserve">Search by</t>
  </si>
  <si>
    <t xml:space="preserve">Tip: after changing 'Search by', pick a new value; the value list follows the field.</t>
  </si>
  <si>
    <t xml:space="preserve">Value</t>
  </si>
  <si>
    <t xml:space="preserve">Matches</t>
  </si>
  <si>
    <t xml:space="preserve">#</t>
  </si>
  <si>
    <t xml:space="preserve">Equipment ID</t>
  </si>
  <si>
    <t xml:space="preserve">Item</t>
  </si>
  <si>
    <t xml:space="preserve">Responsible</t>
  </si>
  <si>
    <t xml:space="preserve">Disposition</t>
  </si>
  <si>
    <t xml:space="preserve">Container</t>
  </si>
  <si>
    <t xml:space="preserve">Vehicle</t>
  </si>
  <si>
    <t xml:space="preserve">Check</t>
  </si>
  <si>
    <t xml:space="preserve">Shipping manifest</t>
  </si>
  <si>
    <t xml:space="preserve">Container / vehicle</t>
  </si>
  <si>
    <t xml:space="preserve">CT-01</t>
  </si>
  <si>
    <t xml:space="preserve">Type</t>
  </si>
  <si>
    <t xml:space="preserve">Serial / vehicle no.</t>
  </si>
  <si>
    <t xml:space="preserve">Ship date</t>
  </si>
  <si>
    <t xml:space="preserve">Serial No.</t>
  </si>
  <si>
    <t xml:space="preserve">Packed (initials)</t>
  </si>
  <si>
    <t xml:space="preserve">Packed by: ____________________    Checked by: ____________________    Date: ____________</t>
  </si>
  <si>
    <t xml:space="preserve">One row per item. Columns A-G can be pasted from each person's sheet; H onward are kept manually. Grey = formula.</t>
  </si>
  <si>
    <t xml:space="preserve">Category</t>
  </si>
  <si>
    <t xml:space="preserve">Packed in</t>
  </si>
  <si>
    <t xml:space="preserve">Last service</t>
  </si>
  <si>
    <t xml:space="preserve">Service every (days)</t>
  </si>
  <si>
    <t xml:space="preserve">Next service due</t>
  </si>
  <si>
    <t xml:space="preserve">Days to due</t>
  </si>
  <si>
    <t xml:space="preserve">Notes</t>
  </si>
  <si>
    <t xml:space="preserve">Find match</t>
  </si>
  <si>
    <t xml:space="preserve">Manifest match</t>
  </si>
  <si>
    <t xml:space="preserve">EQ-0001</t>
  </si>
  <si>
    <t xml:space="preserve">Generator #1</t>
  </si>
  <si>
    <t xml:space="preserve">Generator</t>
  </si>
  <si>
    <t xml:space="preserve">SN-69853</t>
  </si>
  <si>
    <t xml:space="preserve">Stay</t>
  </si>
  <si>
    <t xml:space="preserve">EQ-0002</t>
  </si>
  <si>
    <t xml:space="preserve">Radio #1</t>
  </si>
  <si>
    <t xml:space="preserve">Radio</t>
  </si>
  <si>
    <t xml:space="preserve">SN-18158</t>
  </si>
  <si>
    <t xml:space="preserve">Ship</t>
  </si>
  <si>
    <t xml:space="preserve">CT-07</t>
  </si>
  <si>
    <t xml:space="preserve">EQ-0003</t>
  </si>
  <si>
    <t xml:space="preserve">Laptop #1</t>
  </si>
  <si>
    <t xml:space="preserve">Laptop</t>
  </si>
  <si>
    <t xml:space="preserve">SN-31273</t>
  </si>
  <si>
    <t xml:space="preserve">Undecided</t>
  </si>
  <si>
    <t xml:space="preserve">EQ-0004</t>
  </si>
  <si>
    <t xml:space="preserve">Tool kit #1</t>
  </si>
  <si>
    <t xml:space="preserve">Tool kit</t>
  </si>
  <si>
    <t xml:space="preserve">SN-10030</t>
  </si>
  <si>
    <t xml:space="preserve">EQ-0005</t>
  </si>
  <si>
    <t xml:space="preserve">Tent #1</t>
  </si>
  <si>
    <t xml:space="preserve">Tent</t>
  </si>
  <si>
    <t xml:space="preserve">SN-37256</t>
  </si>
  <si>
    <t xml:space="preserve">VH-02</t>
  </si>
  <si>
    <t xml:space="preserve">EQ-0006</t>
  </si>
  <si>
    <t xml:space="preserve">Medical kit #1</t>
  </si>
  <si>
    <t xml:space="preserve">Medical kit</t>
  </si>
  <si>
    <t xml:space="preserve">SN-57731</t>
  </si>
  <si>
    <t xml:space="preserve">VH-10</t>
  </si>
  <si>
    <t xml:space="preserve">EQ-0007</t>
  </si>
  <si>
    <t xml:space="preserve">Pump #1</t>
  </si>
  <si>
    <t xml:space="preserve">Pump</t>
  </si>
  <si>
    <t xml:space="preserve">SN-72966</t>
  </si>
  <si>
    <t xml:space="preserve">EQ-0008</t>
  </si>
  <si>
    <t xml:space="preserve">Camera #1</t>
  </si>
  <si>
    <t xml:space="preserve">Camera</t>
  </si>
  <si>
    <t xml:space="preserve">SN-31160</t>
  </si>
  <si>
    <t xml:space="preserve">VH-08</t>
  </si>
  <si>
    <t xml:space="preserve">EQ-0009</t>
  </si>
  <si>
    <t xml:space="preserve">Battery bank #1</t>
  </si>
  <si>
    <t xml:space="preserve">Battery bank</t>
  </si>
  <si>
    <t xml:space="preserve">SN-79220</t>
  </si>
  <si>
    <t xml:space="preserve">EQ-0010</t>
  </si>
  <si>
    <t xml:space="preserve">Workstation #1</t>
  </si>
  <si>
    <t xml:space="preserve">Workstation</t>
  </si>
  <si>
    <t xml:space="preserve">SN-77947</t>
  </si>
  <si>
    <t xml:space="preserve">EQ-0011</t>
  </si>
  <si>
    <t xml:space="preserve">Lighting set #1</t>
  </si>
  <si>
    <t xml:space="preserve">Lighting set</t>
  </si>
  <si>
    <t xml:space="preserve">SN-93419</t>
  </si>
  <si>
    <t xml:space="preserve">CT-06</t>
  </si>
  <si>
    <t xml:space="preserve">EQ-0012</t>
  </si>
  <si>
    <t xml:space="preserve">Survey kit #1</t>
  </si>
  <si>
    <t xml:space="preserve">Survey kit</t>
  </si>
  <si>
    <t xml:space="preserve">SN-62518</t>
  </si>
  <si>
    <t xml:space="preserve">EQ-0013</t>
  </si>
  <si>
    <t xml:space="preserve">Generator #2</t>
  </si>
  <si>
    <t xml:space="preserve">SN-46623</t>
  </si>
  <si>
    <t xml:space="preserve">VH-01</t>
  </si>
  <si>
    <t xml:space="preserve">EQ-0014</t>
  </si>
  <si>
    <t xml:space="preserve">Radio #2</t>
  </si>
  <si>
    <t xml:space="preserve">SN-68619</t>
  </si>
  <si>
    <t xml:space="preserve">EQ-0015</t>
  </si>
  <si>
    <t xml:space="preserve">Laptop #2</t>
  </si>
  <si>
    <t xml:space="preserve">CT-04</t>
  </si>
  <si>
    <t xml:space="preserve">EQ-0016</t>
  </si>
  <si>
    <t xml:space="preserve">Tool kit #2</t>
  </si>
  <si>
    <t xml:space="preserve">SN-94296</t>
  </si>
  <si>
    <t xml:space="preserve">EQ-0017</t>
  </si>
  <si>
    <t xml:space="preserve">Tent #2</t>
  </si>
  <si>
    <t xml:space="preserve">SN-72656</t>
  </si>
  <si>
    <t xml:space="preserve">VH-04</t>
  </si>
  <si>
    <t xml:space="preserve">EQ-0018</t>
  </si>
  <si>
    <t xml:space="preserve">Medical kit #2</t>
  </si>
  <si>
    <t xml:space="preserve">SN-21370</t>
  </si>
  <si>
    <t xml:space="preserve">EQ-0019</t>
  </si>
  <si>
    <t xml:space="preserve">Pump #2</t>
  </si>
  <si>
    <t xml:space="preserve">SN-30821</t>
  </si>
  <si>
    <t xml:space="preserve">EQ-0020</t>
  </si>
  <si>
    <t xml:space="preserve">Camera #2</t>
  </si>
  <si>
    <t xml:space="preserve">SN-90160</t>
  </si>
  <si>
    <t xml:space="preserve">VH-03</t>
  </si>
  <si>
    <t xml:space="preserve">EQ-0021</t>
  </si>
  <si>
    <t xml:space="preserve">Battery bank #2</t>
  </si>
  <si>
    <t xml:space="preserve">SN-30435</t>
  </si>
  <si>
    <t xml:space="preserve">EQ-0022</t>
  </si>
  <si>
    <t xml:space="preserve">Workstation #2</t>
  </si>
  <si>
    <t xml:space="preserve">SN-66860</t>
  </si>
  <si>
    <t xml:space="preserve">CT-03</t>
  </si>
  <si>
    <t xml:space="preserve">EQ-0023</t>
  </si>
  <si>
    <t xml:space="preserve">Lighting set #2</t>
  </si>
  <si>
    <t xml:space="preserve">SN-86865</t>
  </si>
  <si>
    <t xml:space="preserve">EQ-0024</t>
  </si>
  <si>
    <t xml:space="preserve">Survey kit #2</t>
  </si>
  <si>
    <t xml:space="preserve">SN-70052</t>
  </si>
  <si>
    <t xml:space="preserve">EQ-0025</t>
  </si>
  <si>
    <t xml:space="preserve">Generator #3</t>
  </si>
  <si>
    <t xml:space="preserve">SN-67688</t>
  </si>
  <si>
    <t xml:space="preserve">EQ-0026</t>
  </si>
  <si>
    <t xml:space="preserve">Radio #3</t>
  </si>
  <si>
    <t xml:space="preserve">SN-32589</t>
  </si>
  <si>
    <t xml:space="preserve">EQ-0027</t>
  </si>
  <si>
    <t xml:space="preserve">Laptop #3</t>
  </si>
  <si>
    <t xml:space="preserve">SN-82938</t>
  </si>
  <si>
    <t xml:space="preserve">EQ-0028</t>
  </si>
  <si>
    <t xml:space="preserve">Tool kit #3</t>
  </si>
  <si>
    <t xml:space="preserve">SN-23907</t>
  </si>
  <si>
    <t xml:space="preserve">EQ-0029</t>
  </si>
  <si>
    <t xml:space="preserve">Tent #3</t>
  </si>
  <si>
    <t xml:space="preserve">SN-76547</t>
  </si>
  <si>
    <t xml:space="preserve">CT-02</t>
  </si>
  <si>
    <t xml:space="preserve">EQ-0030</t>
  </si>
  <si>
    <t xml:space="preserve">Medical kit #3</t>
  </si>
  <si>
    <t xml:space="preserve">EQ-0031</t>
  </si>
  <si>
    <t xml:space="preserve">Pump #3</t>
  </si>
  <si>
    <t xml:space="preserve">SN-78578</t>
  </si>
  <si>
    <t xml:space="preserve">EQ-0032</t>
  </si>
  <si>
    <t xml:space="preserve">Camera #3</t>
  </si>
  <si>
    <t xml:space="preserve">SN-64609</t>
  </si>
  <si>
    <t xml:space="preserve">EQ-0033</t>
  </si>
  <si>
    <t xml:space="preserve">Battery bank #3</t>
  </si>
  <si>
    <t xml:space="preserve">SN-19584</t>
  </si>
  <si>
    <t xml:space="preserve">VH-07</t>
  </si>
  <si>
    <t xml:space="preserve">EQ-0034</t>
  </si>
  <si>
    <t xml:space="preserve">Workstation #3</t>
  </si>
  <si>
    <t xml:space="preserve">SN-94339</t>
  </si>
  <si>
    <t xml:space="preserve">EQ-0035</t>
  </si>
  <si>
    <t xml:space="preserve">Lighting set #3</t>
  </si>
  <si>
    <t xml:space="preserve">SN-22337</t>
  </si>
  <si>
    <t xml:space="preserve">EQ-0036</t>
  </si>
  <si>
    <t xml:space="preserve">Survey kit #3</t>
  </si>
  <si>
    <t xml:space="preserve">SN-31163</t>
  </si>
  <si>
    <t xml:space="preserve">EQ-0037</t>
  </si>
  <si>
    <t xml:space="preserve">Generator #4</t>
  </si>
  <si>
    <t xml:space="preserve">SN-22084</t>
  </si>
  <si>
    <t xml:space="preserve">EQ-0038</t>
  </si>
  <si>
    <t xml:space="preserve">Radio #4</t>
  </si>
  <si>
    <t xml:space="preserve">SN-53450</t>
  </si>
  <si>
    <t xml:space="preserve">EQ-0039</t>
  </si>
  <si>
    <t xml:space="preserve">Laptop #4</t>
  </si>
  <si>
    <t xml:space="preserve">SN-23733</t>
  </si>
  <si>
    <t xml:space="preserve">EQ-0040</t>
  </si>
  <si>
    <t xml:space="preserve">Tool kit #4</t>
  </si>
  <si>
    <t xml:space="preserve">SN-65345</t>
  </si>
  <si>
    <t xml:space="preserve">Storage locations</t>
  </si>
  <si>
    <t xml:space="preserve">Destinations</t>
  </si>
  <si>
    <t xml:space="preserve">People</t>
  </si>
  <si>
    <t xml:space="preserve">Equipment status</t>
  </si>
  <si>
    <t xml:space="preserve">Find by</t>
  </si>
  <si>
    <t xml:space="preserve">CT-05</t>
  </si>
  <si>
    <t xml:space="preserve">VH-05</t>
  </si>
  <si>
    <t xml:space="preserve">VH-06</t>
  </si>
  <si>
    <t xml:space="preserve">CT-08</t>
  </si>
  <si>
    <t xml:space="preserve">VH-09</t>
  </si>
  <si>
    <t xml:space="preserve">VH-11</t>
  </si>
  <si>
    <t xml:space="preserve">VH-12</t>
  </si>
  <si>
    <t xml:space="preserve">Containers travel separately from vehicles. Serial numbers can be added when known.</t>
  </si>
  <si>
    <t xml:space="preserve">Container ID</t>
  </si>
  <si>
    <t xml:space="preserve">Current location</t>
  </si>
  <si>
    <t xml:space="preserve">Last inspection</t>
  </si>
  <si>
    <t xml:space="preserve">Inspect every (days)</t>
  </si>
  <si>
    <t xml:space="preserve">Next inspection due</t>
  </si>
  <si>
    <t xml:space="preserve">Items inside</t>
  </si>
  <si>
    <t xml:space="preserve">Items to a different destination</t>
  </si>
  <si>
    <t xml:space="preserve">Tricon</t>
  </si>
  <si>
    <t xml:space="preserve">MSKU3530829</t>
  </si>
  <si>
    <t xml:space="preserve">40ft ISO</t>
  </si>
  <si>
    <t xml:space="preserve">MSKU1973060</t>
  </si>
  <si>
    <t xml:space="preserve">20ft ISO</t>
  </si>
  <si>
    <t xml:space="preserve">Serial pending from carrier</t>
  </si>
  <si>
    <t xml:space="preserve">MSKU2037872</t>
  </si>
  <si>
    <t xml:space="preserve">MSKU8031986</t>
  </si>
  <si>
    <t xml:space="preserve">Quadcon</t>
  </si>
  <si>
    <t xml:space="preserve">MSKU4151952</t>
  </si>
  <si>
    <t xml:space="preserve">MSKU7066345</t>
  </si>
  <si>
    <t xml:space="preserve">12 vehicles shipping with equipment loaded. Vehicle numbers can be added when assigned.</t>
  </si>
  <si>
    <t xml:space="preserve">Vehicle ID</t>
  </si>
  <si>
    <t xml:space="preserve">Vehicle No. / VIN</t>
  </si>
  <si>
    <t xml:space="preserve">Assigned to</t>
  </si>
  <si>
    <t xml:space="preserve">Items loaded</t>
  </si>
  <si>
    <t xml:space="preserve">Van</t>
  </si>
  <si>
    <t xml:space="preserve">1FT650708</t>
  </si>
  <si>
    <t xml:space="preserve">Utility</t>
  </si>
  <si>
    <t xml:space="preserve">1FT223800</t>
  </si>
  <si>
    <t xml:space="preserve">Pickup</t>
  </si>
  <si>
    <t xml:space="preserve">1FT141111</t>
  </si>
  <si>
    <t xml:space="preserve">1FT723241</t>
  </si>
  <si>
    <t xml:space="preserve">Number pending</t>
  </si>
  <si>
    <t xml:space="preserve">Flatbed</t>
  </si>
  <si>
    <t xml:space="preserve">1FT504531</t>
  </si>
  <si>
    <t xml:space="preserve">1FT617674</t>
  </si>
  <si>
    <t xml:space="preserve">1FT620625</t>
  </si>
  <si>
    <t xml:space="preserve">1FT959077</t>
  </si>
  <si>
    <t xml:space="preserve">Box truck</t>
  </si>
  <si>
    <t xml:space="preserve">1FT344670</t>
  </si>
  <si>
    <t xml:space="preserve">1FT252752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</si>
</sst>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Cambria"/>
      <family val="0"/>
      <charset val="1"/>
    </font>
    <font>
      <i val="true"/>
      <sz val="11"/>
      <color rgb="FF80808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color rgb="FF1F2A4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F8CBAD"/>
        </patternFill>
      </fill>
    </dxf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>
          <bgColor rgb="FFFFE699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Containers" displayName="tblContainers" ref="A4:P12" headerRowCount="1" totalsRowCount="0" totalsRowShown="0">
  <autoFilter ref="A4:P12"/>
  <tableColumns count="16">
    <tableColumn id="1" name="Container ID"/>
    <tableColumn id="2" name="Type"/>
    <tableColumn id="3" name="Serial No."/>
    <tableColumn id="4" name="Status"/>
    <tableColumn id="5" name="Current location"/>
    <tableColumn id="6" name="Destination"/>
    <tableColumn id="7" name="Responsible"/>
    <tableColumn id="8" name="Ship date"/>
    <tableColumn id="9" name="Last inspection"/>
    <tableColumn id="10" name="Inspect every (days)"/>
    <tableColumn id="11" name="Next inspection due"/>
    <tableColumn id="12" name="Days to due"/>
    <tableColumn id="13" name="Items inside"/>
    <tableColumn id="14" name="Items to a different destination"/>
    <tableColumn id="15" name="Check"/>
    <tableColumn id="16" name="Notes"/>
  </tableColumns>
</table>
</file>

<file path=xl/tables/table2.xml><?xml version="1.0" encoding="utf-8"?>
<table xmlns="http://schemas.openxmlformats.org/spreadsheetml/2006/main" id="2" name="tblEquipment" displayName="tblEquipment" ref="A4:T44" headerRowCount="1" totalsRowCount="0" totalsRowShown="0">
  <autoFilter ref="A4:T44"/>
  <tableColumns count="20">
    <tableColumn id="1" name="Equipment ID"/>
    <tableColumn id="2" name="Item"/>
    <tableColumn id="3" name="Category"/>
    <tableColumn id="4" name="Serial No."/>
    <tableColumn id="5" name="Responsible"/>
    <tableColumn id="6" name="Storage location"/>
    <tableColumn id="7" name="Status"/>
    <tableColumn id="8" name="Disposition"/>
    <tableColumn id="9" name="Packed in"/>
    <tableColumn id="10" name="Container"/>
    <tableColumn id="11" name="Vehicle"/>
    <tableColumn id="12" name="Destination"/>
    <tableColumn id="13" name="Last service"/>
    <tableColumn id="14" name="Service every (days)"/>
    <tableColumn id="15" name="Next service due"/>
    <tableColumn id="16" name="Days to due"/>
    <tableColumn id="17" name="Check"/>
    <tableColumn id="18" name="Notes"/>
    <tableColumn id="19" name="Find match"/>
    <tableColumn id="20" name="Manifest match"/>
  </tableColumns>
</table>
</file>

<file path=xl/tables/table3.xml><?xml version="1.0" encoding="utf-8"?>
<table xmlns="http://schemas.openxmlformats.org/spreadsheetml/2006/main" id="3" name="tblVehicles" displayName="tblVehicles" ref="A4:P16" headerRowCount="1" totalsRowCount="0" totalsRowShown="0">
  <autoFilter ref="A4:P16"/>
  <tableColumns count="16">
    <tableColumn id="1" name="Vehicle ID"/>
    <tableColumn id="2" name="Type"/>
    <tableColumn id="3" name="Vehicle No. / VIN"/>
    <tableColumn id="4" name="Status"/>
    <tableColumn id="5" name="Current location"/>
    <tableColumn id="6" name="Destination"/>
    <tableColumn id="7" name="Assigned to"/>
    <tableColumn id="8" name="Ship date"/>
    <tableColumn id="9" name="Last service"/>
    <tableColumn id="10" name="Service every (days)"/>
    <tableColumn id="11" name="Next service due"/>
    <tableColumn id="12" name="Days to due"/>
    <tableColumn id="13" name="Items loaded"/>
    <tableColumn id="14" name="Items to a different destination"/>
    <tableColumn id="15" name="Check"/>
    <tableColumn id="16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3" hidden="false" customHeight="false" outlineLevel="0" collapsed="false">
      <c r="A4" s="3" t="s">
        <v>2</v>
      </c>
      <c r="B4" s="4" t="s">
        <v>3</v>
      </c>
    </row>
    <row r="5" customFormat="false" ht="16.4" hidden="false" customHeight="false" outlineLevel="0" collapsed="false">
      <c r="A5" s="3" t="s">
        <v>4</v>
      </c>
      <c r="B5" s="4" t="s">
        <v>5</v>
      </c>
    </row>
    <row r="6" customFormat="false" ht="16.4" hidden="false" customHeight="false" outlineLevel="0" collapsed="false">
      <c r="A6" s="3" t="s">
        <v>6</v>
      </c>
      <c r="B6" s="4" t="s">
        <v>7</v>
      </c>
    </row>
    <row r="7" customFormat="false" ht="16.4" hidden="false" customHeight="false" outlineLevel="0" collapsed="false">
      <c r="A7" s="3" t="s">
        <v>8</v>
      </c>
      <c r="B7" s="4" t="s">
        <v>9</v>
      </c>
    </row>
    <row r="8" customFormat="false" ht="16.4" hidden="false" customHeight="false" outlineLevel="0" collapsed="false">
      <c r="A8" s="3" t="s">
        <v>10</v>
      </c>
      <c r="B8" s="4" t="s">
        <v>11</v>
      </c>
    </row>
    <row r="9" customFormat="false" ht="16.4" hidden="false" customHeight="false" outlineLevel="0" collapsed="false">
      <c r="A9" s="3" t="s">
        <v>12</v>
      </c>
      <c r="B9" s="4" t="s">
        <v>13</v>
      </c>
    </row>
    <row r="10" customFormat="false" ht="16.4" hidden="false" customHeight="false" outlineLevel="0" collapsed="false">
      <c r="A10" s="3" t="s">
        <v>14</v>
      </c>
      <c r="B10" s="4" t="s">
        <v>15</v>
      </c>
    </row>
    <row r="11" customFormat="false" ht="31.3" hidden="false" customHeight="false" outlineLevel="0" collapsed="false">
      <c r="A11" s="3" t="s">
        <v>16</v>
      </c>
      <c r="B11" s="4" t="s">
        <v>17</v>
      </c>
    </row>
    <row r="12" customFormat="false" ht="16.4" hidden="false" customHeight="fals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6" min="5" style="0" width="12"/>
    <col collapsed="false" customWidth="true" hidden="false" outlineLevel="0" max="7" min="7" style="0" width="4"/>
    <col collapsed="false" customWidth="true" hidden="false" outlineLevel="0" max="8" min="8" style="0" width="24"/>
    <col collapsed="false" customWidth="true" hidden="false" outlineLevel="0" max="11" min="9" style="0" width="12"/>
  </cols>
  <sheetData>
    <row r="1" customFormat="false" ht="19.7" hidden="false" customHeight="false" outlineLevel="0" collapsed="false">
      <c r="A1" s="1" t="s">
        <v>8</v>
      </c>
    </row>
    <row r="2" customFormat="false" ht="15" hidden="false" customHeight="false" outlineLevel="0" collapsed="false">
      <c r="A2" s="2" t="str">
        <f aca="true">"Updated live from the Equipment, Containers and Vehicles sheets. Today: "&amp;TEXT(TODAY(),"yyyy-mm-dd")</f>
        <v>Updated live from the Equipment, Containers and Vehicles sheets. Today: 2026-10-29</v>
      </c>
    </row>
    <row r="4" customFormat="false" ht="15" hidden="false" customHeight="false" outlineLevel="0" collapsed="false">
      <c r="A4" s="5" t="s">
        <v>20</v>
      </c>
      <c r="D4" s="5" t="s">
        <v>21</v>
      </c>
      <c r="H4" s="5" t="s">
        <v>22</v>
      </c>
    </row>
    <row r="5" customFormat="false" ht="15" hidden="false" customHeight="false" outlineLevel="0" collapsed="false">
      <c r="A5" s="6" t="s">
        <v>23</v>
      </c>
      <c r="B5" s="6" t="s">
        <v>24</v>
      </c>
      <c r="D5" s="6" t="s">
        <v>25</v>
      </c>
      <c r="E5" s="6" t="s">
        <v>26</v>
      </c>
      <c r="F5" s="6" t="s">
        <v>27</v>
      </c>
      <c r="H5" s="6" t="s">
        <v>28</v>
      </c>
      <c r="I5" s="6" t="s">
        <v>26</v>
      </c>
      <c r="J5" s="6" t="s">
        <v>4</v>
      </c>
      <c r="K5" s="6" t="s">
        <v>6</v>
      </c>
    </row>
    <row r="6" customFormat="false" ht="15" hidden="false" customHeight="false" outlineLevel="0" collapsed="false">
      <c r="A6" s="7" t="s">
        <v>29</v>
      </c>
      <c r="B6" s="8" t="n">
        <f aca="false">COUNTA(Equipment!$A$5:$A$500)</f>
        <v>40</v>
      </c>
      <c r="D6" s="7" t="s">
        <v>30</v>
      </c>
      <c r="E6" s="7" t="n">
        <f aca="false">COUNTIF(Equipment!$G$5:$G$500,D6)</f>
        <v>7</v>
      </c>
      <c r="F6" s="7" t="n">
        <f aca="false">COUNTIFS(Equipment!$G$5:$G$500,D6,Equipment!$H$5:$H$500,"Ship")</f>
        <v>6</v>
      </c>
      <c r="H6" s="7" t="s">
        <v>31</v>
      </c>
      <c r="I6" s="7" t="n">
        <f aca="false">COUNTIF(Equipment!$L$5:$L$500,H6)</f>
        <v>6</v>
      </c>
      <c r="J6" s="7" t="n">
        <f aca="false">COUNTIF(Containers!$F$5:$F$60,H6)</f>
        <v>2</v>
      </c>
      <c r="K6" s="7" t="n">
        <f aca="false">COUNTIF(Vehicles!$F$5:$F$60,H6)</f>
        <v>2</v>
      </c>
    </row>
    <row r="7" customFormat="false" ht="15" hidden="false" customHeight="false" outlineLevel="0" collapsed="false">
      <c r="A7" s="7" t="s">
        <v>27</v>
      </c>
      <c r="B7" s="8" t="n">
        <f aca="false">COUNTIF(Equipment!$H$5:$H$500,"Ship")</f>
        <v>26</v>
      </c>
      <c r="D7" s="7" t="s">
        <v>32</v>
      </c>
      <c r="E7" s="7" t="n">
        <f aca="false">COUNTIF(Equipment!$G$5:$G$500,D7)</f>
        <v>8</v>
      </c>
      <c r="F7" s="7" t="n">
        <f aca="false">COUNTIFS(Equipment!$G$5:$G$500,D7,Equipment!$H$5:$H$500,"Ship")</f>
        <v>8</v>
      </c>
      <c r="H7" s="7" t="s">
        <v>33</v>
      </c>
      <c r="I7" s="7" t="n">
        <f aca="false">COUNTIF(Equipment!$L$5:$L$500,H7)</f>
        <v>2</v>
      </c>
      <c r="J7" s="7" t="n">
        <f aca="false">COUNTIF(Containers!$F$5:$F$60,H7)</f>
        <v>2</v>
      </c>
      <c r="K7" s="7" t="n">
        <f aca="false">COUNTIF(Vehicles!$F$5:$F$60,H7)</f>
        <v>2</v>
      </c>
    </row>
    <row r="8" customFormat="false" ht="15" hidden="false" customHeight="false" outlineLevel="0" collapsed="false">
      <c r="A8" s="7" t="s">
        <v>34</v>
      </c>
      <c r="B8" s="8" t="n">
        <f aca="false">COUNTIF(Equipment!$H$5:$H$500,"Stay")</f>
        <v>11</v>
      </c>
      <c r="D8" s="7" t="s">
        <v>35</v>
      </c>
      <c r="E8" s="7" t="n">
        <f aca="false">COUNTIF(Equipment!$G$5:$G$500,D8)</f>
        <v>5</v>
      </c>
      <c r="F8" s="7" t="n">
        <f aca="false">COUNTIFS(Equipment!$G$5:$G$500,D8,Equipment!$H$5:$H$500,"Ship")</f>
        <v>5</v>
      </c>
      <c r="H8" s="7" t="s">
        <v>36</v>
      </c>
      <c r="I8" s="7" t="n">
        <f aca="false">COUNTIF(Equipment!$L$5:$L$500,H8)</f>
        <v>2</v>
      </c>
      <c r="J8" s="7" t="n">
        <f aca="false">COUNTIF(Containers!$F$5:$F$60,H8)</f>
        <v>1</v>
      </c>
      <c r="K8" s="7" t="n">
        <f aca="false">COUNTIF(Vehicles!$F$5:$F$60,H8)</f>
        <v>2</v>
      </c>
    </row>
    <row r="9" customFormat="false" ht="17.9" hidden="false" customHeight="false" outlineLevel="0" collapsed="false">
      <c r="A9" s="7" t="s">
        <v>37</v>
      </c>
      <c r="B9" s="8" t="n">
        <f aca="false">COUNTIFS(Equipment!$A$5:$A$500,"&lt;&gt;",Equipment!$H$5:$H$500,"")+COUNTIF(Equipment!$H$5:$H$500,"Undecided")</f>
        <v>3</v>
      </c>
      <c r="D9" s="7" t="s">
        <v>38</v>
      </c>
      <c r="E9" s="7" t="n">
        <f aca="false">COUNTIF(Equipment!$G$5:$G$500,D9)</f>
        <v>6</v>
      </c>
      <c r="F9" s="7" t="n">
        <f aca="false">COUNTIFS(Equipment!$G$5:$G$500,D9,Equipment!$H$5:$H$500,"Ship")</f>
        <v>6</v>
      </c>
      <c r="H9" s="7" t="s">
        <v>39</v>
      </c>
      <c r="I9" s="7" t="n">
        <f aca="false">COUNTIF(Equipment!$L$5:$L$500,H9)</f>
        <v>9</v>
      </c>
      <c r="J9" s="7" t="n">
        <f aca="false">COUNTIF(Containers!$F$5:$F$60,H9)</f>
        <v>1</v>
      </c>
      <c r="K9" s="7" t="n">
        <f aca="false">COUNTIF(Vehicles!$F$5:$F$60,H9)</f>
        <v>2</v>
      </c>
    </row>
    <row r="10" customFormat="false" ht="17.9" hidden="false" customHeight="false" outlineLevel="0" collapsed="false">
      <c r="A10" s="7" t="s">
        <v>40</v>
      </c>
      <c r="B10" s="8" t="n">
        <f aca="false">SUMPRODUCT((Equipment!$A$5:$A$500&lt;&gt;"")*(LEN(Equipment!$Q$5:$Q$500)&gt;0))</f>
        <v>15</v>
      </c>
      <c r="D10" s="7" t="s">
        <v>34</v>
      </c>
      <c r="E10" s="7" t="n">
        <f aca="false">COUNTIF(Equipment!$G$5:$G$500,D10)</f>
        <v>12</v>
      </c>
      <c r="F10" s="7" t="n">
        <f aca="false">COUNTIFS(Equipment!$G$5:$G$500,D10,Equipment!$H$5:$H$500,"Ship")</f>
        <v>0</v>
      </c>
      <c r="H10" s="7" t="s">
        <v>41</v>
      </c>
      <c r="I10" s="7" t="n">
        <f aca="false">COUNTIF(Equipment!$L$5:$L$500,H10)</f>
        <v>1</v>
      </c>
      <c r="J10" s="7" t="n">
        <f aca="false">COUNTIF(Containers!$F$5:$F$60,H10)</f>
        <v>1</v>
      </c>
      <c r="K10" s="7" t="n">
        <f aca="false">COUNTIF(Vehicles!$F$5:$F$60,H10)</f>
        <v>2</v>
      </c>
    </row>
    <row r="11" customFormat="false" ht="17.9" hidden="false" customHeight="false" outlineLevel="0" collapsed="false">
      <c r="A11" s="7" t="s">
        <v>42</v>
      </c>
      <c r="B11" s="8" t="n">
        <f aca="false">COUNTIF(Equipment!$P$5:$P$500,"&lt;0")</f>
        <v>10</v>
      </c>
      <c r="D11" s="7" t="s">
        <v>43</v>
      </c>
      <c r="E11" s="7" t="n">
        <f aca="false">COUNTIF(Equipment!$G$5:$G$500,D11)</f>
        <v>1</v>
      </c>
      <c r="F11" s="7" t="n">
        <f aca="false">COUNTIFS(Equipment!$G$5:$G$500,D11,Equipment!$H$5:$H$500,"Ship")</f>
        <v>0</v>
      </c>
      <c r="H11" s="7" t="s">
        <v>44</v>
      </c>
      <c r="I11" s="7" t="n">
        <f aca="false">COUNTIF(Equipment!$L$5:$L$500,H11)</f>
        <v>6</v>
      </c>
      <c r="J11" s="7" t="n">
        <f aca="false">COUNTIF(Containers!$F$5:$F$60,H11)</f>
        <v>1</v>
      </c>
      <c r="K11" s="7" t="n">
        <f aca="false">COUNTIF(Vehicles!$F$5:$F$60,H11)</f>
        <v>2</v>
      </c>
    </row>
    <row r="12" customFormat="false" ht="15" hidden="false" customHeight="false" outlineLevel="0" collapsed="false">
      <c r="A12" s="7" t="s">
        <v>45</v>
      </c>
      <c r="B12" s="8" t="n">
        <f aca="false">COUNTIFS(Equipment!$P$5:$P$500,"&gt;=0",Equipment!$P$5:$P$500,"&lt;=30")</f>
        <v>1</v>
      </c>
      <c r="D12" s="7" t="s">
        <v>46</v>
      </c>
      <c r="E12" s="7" t="n">
        <f aca="false">COUNTIF(Equipment!$G$5:$G$500,D12)</f>
        <v>1</v>
      </c>
      <c r="F12" s="7" t="n">
        <f aca="false">COUNTIFS(Equipment!$G$5:$G$500,D12,Equipment!$H$5:$H$500,"Ship")</f>
        <v>1</v>
      </c>
    </row>
    <row r="13" customFormat="false" ht="17.9" hidden="false" customHeight="false" outlineLevel="0" collapsed="false">
      <c r="A13" s="7" t="s">
        <v>47</v>
      </c>
      <c r="B13" s="8" t="n">
        <f aca="false">COUNTIF(Vehicles!$L$5:$L$60,"&lt;0")</f>
        <v>4</v>
      </c>
    </row>
    <row r="14" customFormat="false" ht="17.9" hidden="false" customHeight="false" outlineLevel="0" collapsed="false">
      <c r="A14" s="7" t="s">
        <v>48</v>
      </c>
      <c r="B14" s="8" t="n">
        <f aca="false">COUNTIF(Containers!$L$5:$L$60,"&lt;0")</f>
        <v>1</v>
      </c>
    </row>
    <row r="15" customFormat="false" ht="17.9" hidden="false" customHeight="false" outlineLevel="0" collapsed="false">
      <c r="A15" s="7" t="s">
        <v>49</v>
      </c>
      <c r="B15" s="8" t="n">
        <f aca="false">COUNTIFS(Containers!$A$5:$A$60,"&lt;&gt;",Containers!$C$5:$C$60,"")</f>
        <v>2</v>
      </c>
    </row>
    <row r="16" customFormat="false" ht="17.9" hidden="false" customHeight="false" outlineLevel="0" collapsed="false">
      <c r="A16" s="7" t="s">
        <v>50</v>
      </c>
      <c r="B16" s="8" t="n">
        <f aca="false">COUNTIFS(Vehicles!$A$5:$A$60,"&lt;&gt;",Vehicles!$C$5:$C$60,"")</f>
        <v>2</v>
      </c>
    </row>
    <row r="18" customFormat="false" ht="15" hidden="false" customHeight="false" outlineLevel="0" collapsed="false">
      <c r="A18" s="5" t="s">
        <v>51</v>
      </c>
      <c r="D18" s="5" t="s">
        <v>52</v>
      </c>
      <c r="H18" s="5" t="s">
        <v>53</v>
      </c>
    </row>
    <row r="19" customFormat="false" ht="15" hidden="false" customHeight="false" outlineLevel="0" collapsed="false">
      <c r="A19" s="6" t="s">
        <v>54</v>
      </c>
      <c r="B19" s="6" t="s">
        <v>26</v>
      </c>
      <c r="D19" s="6" t="s">
        <v>55</v>
      </c>
      <c r="E19" s="6" t="s">
        <v>26</v>
      </c>
      <c r="F19" s="6" t="s">
        <v>56</v>
      </c>
      <c r="H19" s="6" t="s">
        <v>25</v>
      </c>
      <c r="I19" s="6" t="s">
        <v>4</v>
      </c>
    </row>
    <row r="20" customFormat="false" ht="15" hidden="false" customHeight="false" outlineLevel="0" collapsed="false">
      <c r="A20" s="7" t="s">
        <v>57</v>
      </c>
      <c r="B20" s="7" t="n">
        <f aca="false">COUNTIF(Equipment!$F$5:$F$500,A20)</f>
        <v>3</v>
      </c>
      <c r="D20" s="7" t="s">
        <v>58</v>
      </c>
      <c r="E20" s="7" t="n">
        <f aca="false">COUNTIF(Equipment!$E$5:$E$500,D20)</f>
        <v>1</v>
      </c>
      <c r="F20" s="7" t="n">
        <f aca="false">SUMPRODUCT((Equipment!$E$5:$E$500=D20)*(LEN(Equipment!$Q$5:$Q$500)&gt;0))</f>
        <v>0</v>
      </c>
      <c r="H20" s="7" t="s">
        <v>59</v>
      </c>
      <c r="I20" s="7" t="n">
        <f aca="false">COUNTIF(Containers!$D$5:$D$60,H20)</f>
        <v>1</v>
      </c>
    </row>
    <row r="21" customFormat="false" ht="15" hidden="false" customHeight="false" outlineLevel="0" collapsed="false">
      <c r="A21" s="7" t="s">
        <v>60</v>
      </c>
      <c r="B21" s="7" t="n">
        <f aca="false">COUNTIF(Equipment!$F$5:$F$500,A21)</f>
        <v>2</v>
      </c>
      <c r="D21" s="7" t="s">
        <v>61</v>
      </c>
      <c r="E21" s="7" t="n">
        <f aca="false">COUNTIF(Equipment!$E$5:$E$500,D21)</f>
        <v>4</v>
      </c>
      <c r="F21" s="7" t="n">
        <f aca="false">SUMPRODUCT((Equipment!$E$5:$E$500=D21)*(LEN(Equipment!$Q$5:$Q$500)&gt;0))</f>
        <v>1</v>
      </c>
      <c r="H21" s="7" t="s">
        <v>62</v>
      </c>
      <c r="I21" s="7" t="n">
        <f aca="false">COUNTIF(Containers!$D$5:$D$60,H21)</f>
        <v>3</v>
      </c>
    </row>
    <row r="22" customFormat="false" ht="15" hidden="false" customHeight="false" outlineLevel="0" collapsed="false">
      <c r="A22" s="7" t="s">
        <v>63</v>
      </c>
      <c r="B22" s="7" t="n">
        <f aca="false">COUNTIF(Equipment!$F$5:$F$500,A22)</f>
        <v>4</v>
      </c>
      <c r="D22" s="7" t="s">
        <v>64</v>
      </c>
      <c r="E22" s="7" t="n">
        <f aca="false">COUNTIF(Equipment!$E$5:$E$500,D22)</f>
        <v>4</v>
      </c>
      <c r="F22" s="7" t="n">
        <f aca="false">SUMPRODUCT((Equipment!$E$5:$E$500=D22)*(LEN(Equipment!$Q$5:$Q$500)&gt;0))</f>
        <v>2</v>
      </c>
      <c r="H22" s="7" t="s">
        <v>35</v>
      </c>
      <c r="I22" s="7" t="n">
        <f aca="false">COUNTIF(Containers!$D$5:$D$60,H22)</f>
        <v>3</v>
      </c>
    </row>
    <row r="23" customFormat="false" ht="15" hidden="false" customHeight="false" outlineLevel="0" collapsed="false">
      <c r="A23" s="7" t="s">
        <v>65</v>
      </c>
      <c r="B23" s="7" t="n">
        <f aca="false">COUNTIF(Equipment!$F$5:$F$500,A23)</f>
        <v>3</v>
      </c>
      <c r="D23" s="7" t="s">
        <v>66</v>
      </c>
      <c r="E23" s="7" t="n">
        <f aca="false">COUNTIF(Equipment!$E$5:$E$500,D23)</f>
        <v>5</v>
      </c>
      <c r="F23" s="7" t="n">
        <f aca="false">SUMPRODUCT((Equipment!$E$5:$E$500=D23)*(LEN(Equipment!$Q$5:$Q$500)&gt;0))</f>
        <v>1</v>
      </c>
      <c r="H23" s="7" t="s">
        <v>38</v>
      </c>
      <c r="I23" s="7" t="n">
        <f aca="false">COUNTIF(Containers!$D$5:$D$60,H23)</f>
        <v>1</v>
      </c>
    </row>
    <row r="24" customFormat="false" ht="15" hidden="false" customHeight="false" outlineLevel="0" collapsed="false">
      <c r="A24" s="7" t="s">
        <v>67</v>
      </c>
      <c r="B24" s="7" t="n">
        <f aca="false">COUNTIF(Equipment!$F$5:$F$500,A24)</f>
        <v>4</v>
      </c>
      <c r="D24" s="7" t="s">
        <v>68</v>
      </c>
      <c r="E24" s="7" t="n">
        <f aca="false">COUNTIF(Equipment!$E$5:$E$500,D24)</f>
        <v>4</v>
      </c>
      <c r="F24" s="7" t="n">
        <f aca="false">SUMPRODUCT((Equipment!$E$5:$E$500=D24)*(LEN(Equipment!$Q$5:$Q$500)&gt;0))</f>
        <v>2</v>
      </c>
      <c r="H24" s="7" t="s">
        <v>69</v>
      </c>
      <c r="I24" s="7" t="n">
        <f aca="false">COUNTIF(Containers!$D$5:$D$60,H24)</f>
        <v>0</v>
      </c>
    </row>
    <row r="25" customFormat="false" ht="15" hidden="false" customHeight="false" outlineLevel="0" collapsed="false">
      <c r="A25" s="7" t="s">
        <v>70</v>
      </c>
      <c r="B25" s="7" t="n">
        <f aca="false">COUNTIF(Equipment!$F$5:$F$500,A25)</f>
        <v>3</v>
      </c>
      <c r="D25" s="7" t="s">
        <v>71</v>
      </c>
      <c r="E25" s="7" t="n">
        <f aca="false">COUNTIF(Equipment!$E$5:$E$500,D25)</f>
        <v>6</v>
      </c>
      <c r="F25" s="7" t="n">
        <f aca="false">SUMPRODUCT((Equipment!$E$5:$E$500=D25)*(LEN(Equipment!$Q$5:$Q$500)&gt;0))</f>
        <v>2</v>
      </c>
    </row>
    <row r="26" customFormat="false" ht="15" hidden="false" customHeight="false" outlineLevel="0" collapsed="false">
      <c r="A26" s="7" t="s">
        <v>72</v>
      </c>
      <c r="B26" s="7" t="n">
        <f aca="false">COUNTIF(Equipment!$F$5:$F$500,A26)</f>
        <v>5</v>
      </c>
      <c r="D26" s="7" t="s">
        <v>73</v>
      </c>
      <c r="E26" s="7" t="n">
        <f aca="false">COUNTIF(Equipment!$E$5:$E$500,D26)</f>
        <v>3</v>
      </c>
      <c r="F26" s="7" t="n">
        <f aca="false">SUMPRODUCT((Equipment!$E$5:$E$500=D26)*(LEN(Equipment!$Q$5:$Q$500)&gt;0))</f>
        <v>2</v>
      </c>
    </row>
    <row r="27" customFormat="false" ht="15" hidden="false" customHeight="false" outlineLevel="0" collapsed="false">
      <c r="A27" s="7" t="s">
        <v>74</v>
      </c>
      <c r="B27" s="7" t="n">
        <f aca="false">COUNTIF(Equipment!$F$5:$F$500,A27)</f>
        <v>5</v>
      </c>
      <c r="D27" s="7" t="s">
        <v>75</v>
      </c>
      <c r="E27" s="7" t="n">
        <f aca="false">COUNTIF(Equipment!$E$5:$E$500,D27)</f>
        <v>4</v>
      </c>
      <c r="F27" s="7" t="n">
        <f aca="false">SUMPRODUCT((Equipment!$E$5:$E$500=D27)*(LEN(Equipment!$Q$5:$Q$500)&gt;0))</f>
        <v>3</v>
      </c>
      <c r="H27" s="5" t="s">
        <v>76</v>
      </c>
    </row>
    <row r="28" customFormat="false" ht="15" hidden="false" customHeight="false" outlineLevel="0" collapsed="false">
      <c r="A28" s="7" t="s">
        <v>77</v>
      </c>
      <c r="B28" s="7" t="n">
        <f aca="false">COUNTIF(Equipment!$F$5:$F$500,A28)</f>
        <v>5</v>
      </c>
      <c r="D28" s="7" t="s">
        <v>78</v>
      </c>
      <c r="E28" s="7" t="n">
        <f aca="false">COUNTIF(Equipment!$E$5:$E$500,D28)</f>
        <v>5</v>
      </c>
      <c r="F28" s="7" t="n">
        <f aca="false">SUMPRODUCT((Equipment!$E$5:$E$500=D28)*(LEN(Equipment!$Q$5:$Q$500)&gt;0))</f>
        <v>1</v>
      </c>
      <c r="H28" s="6" t="s">
        <v>25</v>
      </c>
      <c r="I28" s="6" t="s">
        <v>6</v>
      </c>
    </row>
    <row r="29" customFormat="false" ht="15" hidden="false" customHeight="false" outlineLevel="0" collapsed="false">
      <c r="A29" s="7" t="s">
        <v>79</v>
      </c>
      <c r="B29" s="7" t="n">
        <f aca="false">COUNTIF(Equipment!$F$5:$F$500,A29)</f>
        <v>3</v>
      </c>
      <c r="D29" s="7" t="s">
        <v>80</v>
      </c>
      <c r="E29" s="7" t="n">
        <f aca="false">COUNTIF(Equipment!$E$5:$E$500,D29)</f>
        <v>4</v>
      </c>
      <c r="F29" s="7" t="n">
        <f aca="false">SUMPRODUCT((Equipment!$E$5:$E$500=D29)*(LEN(Equipment!$Q$5:$Q$500)&gt;0))</f>
        <v>1</v>
      </c>
      <c r="H29" s="7" t="s">
        <v>81</v>
      </c>
      <c r="I29" s="7" t="n">
        <f aca="false">COUNTIF(Vehicles!$D$5:$D$60,H29)</f>
        <v>2</v>
      </c>
    </row>
    <row r="30" customFormat="false" ht="15" hidden="false" customHeight="false" outlineLevel="0" collapsed="false">
      <c r="A30" s="7" t="s">
        <v>82</v>
      </c>
      <c r="B30" s="7" t="n">
        <f aca="false">COUNTIF(Equipment!$F$5:$F$500,A30)</f>
        <v>3</v>
      </c>
      <c r="H30" s="7" t="s">
        <v>83</v>
      </c>
      <c r="I30" s="7" t="n">
        <f aca="false">COUNTIF(Vehicles!$D$5:$D$60,H30)</f>
        <v>3</v>
      </c>
    </row>
    <row r="31" customFormat="false" ht="15" hidden="false" customHeight="false" outlineLevel="0" collapsed="false">
      <c r="A31" s="7" t="s">
        <v>84</v>
      </c>
      <c r="B31" s="7" t="n">
        <f aca="false">COUNTIF(Equipment!$F$5:$F$500,A31)</f>
        <v>0</v>
      </c>
      <c r="H31" s="7" t="s">
        <v>35</v>
      </c>
      <c r="I31" s="7" t="n">
        <f aca="false">COUNTIF(Vehicles!$D$5:$D$60,H31)</f>
        <v>1</v>
      </c>
    </row>
    <row r="32" customFormat="false" ht="15" hidden="false" customHeight="false" outlineLevel="0" collapsed="false">
      <c r="H32" s="7" t="s">
        <v>38</v>
      </c>
      <c r="I32" s="7" t="n">
        <f aca="false">COUNTIF(Vehicles!$D$5:$D$60,H32)</f>
        <v>2</v>
      </c>
    </row>
    <row r="33" customFormat="false" ht="15" hidden="false" customHeight="false" outlineLevel="0" collapsed="false">
      <c r="H33" s="7" t="s">
        <v>85</v>
      </c>
      <c r="I33" s="7" t="n">
        <f aca="false">COUNTIF(Vehicles!$D$5:$D$60,H33)</f>
        <v>4</v>
      </c>
    </row>
  </sheetData>
  <conditionalFormatting sqref="B9:B11 B13:B16">
    <cfRule type="cellIs" priority="2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5"/>
    <col collapsed="false" customWidth="true" hidden="false" outlineLevel="0" max="11" min="11" style="0" width="40"/>
  </cols>
  <sheetData>
    <row r="1" customFormat="false" ht="19.7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15" hidden="false" customHeight="false" outlineLevel="0" collapsed="false">
      <c r="B4" s="3" t="s">
        <v>88</v>
      </c>
      <c r="C4" s="9" t="s">
        <v>54</v>
      </c>
      <c r="E4" s="2" t="s">
        <v>89</v>
      </c>
    </row>
    <row r="5" customFormat="false" ht="15" hidden="false" customHeight="false" outlineLevel="0" collapsed="false">
      <c r="B5" s="3" t="s">
        <v>90</v>
      </c>
      <c r="C5" s="9" t="s">
        <v>57</v>
      </c>
    </row>
    <row r="6" customFormat="false" ht="15" hidden="false" customHeight="false" outlineLevel="0" collapsed="false">
      <c r="B6" s="3" t="s">
        <v>91</v>
      </c>
      <c r="C6" s="10" t="n">
        <f aca="false">MAX(Equipment!$S$5:$S$500)</f>
        <v>3</v>
      </c>
    </row>
    <row r="8" customFormat="false" ht="15" hidden="false" customHeight="false" outlineLevel="0" collapsed="false">
      <c r="A8" s="11" t="s">
        <v>92</v>
      </c>
      <c r="B8" s="11" t="s">
        <v>93</v>
      </c>
      <c r="C8" s="11" t="s">
        <v>94</v>
      </c>
      <c r="D8" s="11" t="s">
        <v>95</v>
      </c>
      <c r="E8" s="11" t="s">
        <v>54</v>
      </c>
      <c r="F8" s="11" t="s">
        <v>25</v>
      </c>
      <c r="G8" s="11" t="s">
        <v>96</v>
      </c>
      <c r="H8" s="11" t="s">
        <v>97</v>
      </c>
      <c r="I8" s="11" t="s">
        <v>98</v>
      </c>
      <c r="J8" s="11" t="s">
        <v>28</v>
      </c>
      <c r="K8" s="11" t="s">
        <v>99</v>
      </c>
    </row>
    <row r="9" customFormat="false" ht="15" hidden="false" customHeight="false" outlineLevel="0" collapsed="false">
      <c r="A9" s="0" t="n">
        <f aca="false">IF(1&gt;$C$6,"",1)</f>
        <v>1</v>
      </c>
      <c r="B9" s="0" t="str">
        <f aca="false">IF($A9="","",IFERROR(INDEX(Equipment!$A$5:$A$500,MATCH($A9,Equipment!$S$5:$S$500,0))&amp;"",""))</f>
        <v>EQ-0008</v>
      </c>
      <c r="C9" s="0" t="str">
        <f aca="false">IF($A9="","",IFERROR(INDEX(Equipment!$B$5:$B$500,MATCH($A9,Equipment!$S$5:$S$500,0))&amp;"",""))</f>
        <v>Camera #1</v>
      </c>
      <c r="D9" s="0" t="str">
        <f aca="false">IF($A9="","",IFERROR(INDEX(Equipment!$E$5:$E$500,MATCH($A9,Equipment!$S$5:$S$500,0))&amp;"",""))</f>
        <v>P. Hughes</v>
      </c>
      <c r="E9" s="0" t="str">
        <f aca="false">IF($A9="","",IFERROR(INDEX(Equipment!$F$5:$F$500,MATCH($A9,Equipment!$S$5:$S$500,0))&amp;"",""))</f>
        <v>Storage A</v>
      </c>
      <c r="F9" s="0" t="str">
        <f aca="false">IF($A9="","",IFERROR(INDEX(Equipment!$G$5:$G$500,MATCH($A9,Equipment!$S$5:$S$500,0))&amp;"",""))</f>
        <v>Delivered</v>
      </c>
      <c r="G9" s="0" t="str">
        <f aca="false">IF($A9="","",IFERROR(INDEX(Equipment!$H$5:$H$500,MATCH($A9,Equipment!$S$5:$S$500,0))&amp;"",""))</f>
        <v>Ship</v>
      </c>
      <c r="H9" s="0" t="str">
        <f aca="false">IF($A9="","",IFERROR(INDEX(Equipment!$J$5:$J$500,MATCH($A9,Equipment!$S$5:$S$500,0))&amp;"",""))</f>
        <v/>
      </c>
      <c r="I9" s="0" t="str">
        <f aca="false">IF($A9="","",IFERROR(INDEX(Equipment!$K$5:$K$500,MATCH($A9,Equipment!$S$5:$S$500,0))&amp;"",""))</f>
        <v>VH-08</v>
      </c>
      <c r="J9" s="0" t="str">
        <f aca="false">IF($A9="","",IFERROR(INDEX(Equipment!$L$5:$L$500,MATCH($A9,Equipment!$S$5:$S$500,0))&amp;"",""))</f>
        <v>Forward Base 2</v>
      </c>
      <c r="K9" s="0" t="str">
        <f aca="false">IF($A9="","",IFERROR(INDEX(Equipment!$Q$5:$Q$500,MATCH($A9,Equipment!$S$5:$S$500,0))&amp;"",""))</f>
        <v/>
      </c>
    </row>
    <row r="10" customFormat="false" ht="15" hidden="false" customHeight="false" outlineLevel="0" collapsed="false">
      <c r="A10" s="0" t="n">
        <f aca="false">IF(2&gt;$C$6,"",2)</f>
        <v>2</v>
      </c>
      <c r="B10" s="0" t="str">
        <f aca="false">IF($A10="","",IFERROR(INDEX(Equipment!$A$5:$A$500,MATCH($A10,Equipment!$S$5:$S$500,0))&amp;"",""))</f>
        <v>EQ-0028</v>
      </c>
      <c r="C10" s="0" t="str">
        <f aca="false">IF($A10="","",IFERROR(INDEX(Equipment!$B$5:$B$500,MATCH($A10,Equipment!$S$5:$S$500,0))&amp;"",""))</f>
        <v>Tool kit #3</v>
      </c>
      <c r="D10" s="0" t="str">
        <f aca="false">IF($A10="","",IFERROR(INDEX(Equipment!$E$5:$E$500,MATCH($A10,Equipment!$S$5:$S$500,0))&amp;"",""))</f>
        <v>P. Hughes</v>
      </c>
      <c r="E10" s="0" t="str">
        <f aca="false">IF($A10="","",IFERROR(INDEX(Equipment!$F$5:$F$500,MATCH($A10,Equipment!$S$5:$S$500,0))&amp;"",""))</f>
        <v>Storage A</v>
      </c>
      <c r="F10" s="0" t="str">
        <f aca="false">IF($A10="","",IFERROR(INDEX(Equipment!$G$5:$G$500,MATCH($A10,Equipment!$S$5:$S$500,0))&amp;"",""))</f>
        <v>Staying</v>
      </c>
      <c r="G10" s="0" t="str">
        <f aca="false">IF($A10="","",IFERROR(INDEX(Equipment!$H$5:$H$500,MATCH($A10,Equipment!$S$5:$S$500,0))&amp;"",""))</f>
        <v>Stay</v>
      </c>
      <c r="H10" s="0" t="str">
        <f aca="false">IF($A10="","",IFERROR(INDEX(Equipment!$J$5:$J$500,MATCH($A10,Equipment!$S$5:$S$500,0))&amp;"",""))</f>
        <v/>
      </c>
      <c r="I10" s="0" t="str">
        <f aca="false">IF($A10="","",IFERROR(INDEX(Equipment!$K$5:$K$500,MATCH($A10,Equipment!$S$5:$S$500,0))&amp;"",""))</f>
        <v/>
      </c>
      <c r="J10" s="0" t="str">
        <f aca="false">IF($A10="","",IFERROR(INDEX(Equipment!$L$5:$L$500,MATCH($A10,Equipment!$S$5:$S$500,0))&amp;"",""))</f>
        <v/>
      </c>
      <c r="K10" s="0" t="str">
        <f aca="false">IF($A10="","",IFERROR(INDEX(Equipment!$Q$5:$Q$500,MATCH($A10,Equipment!$S$5:$S$500,0))&amp;"",""))</f>
        <v/>
      </c>
    </row>
    <row r="11" customFormat="false" ht="15" hidden="false" customHeight="false" outlineLevel="0" collapsed="false">
      <c r="A11" s="0" t="n">
        <f aca="false">IF(3&gt;$C$6,"",3)</f>
        <v>3</v>
      </c>
      <c r="B11" s="0" t="str">
        <f aca="false">IF($A11="","",IFERROR(INDEX(Equipment!$A$5:$A$500,MATCH($A11,Equipment!$S$5:$S$500,0))&amp;"",""))</f>
        <v>EQ-0037</v>
      </c>
      <c r="C11" s="0" t="str">
        <f aca="false">IF($A11="","",IFERROR(INDEX(Equipment!$B$5:$B$500,MATCH($A11,Equipment!$S$5:$S$500,0))&amp;"",""))</f>
        <v>Generator #4</v>
      </c>
      <c r="D11" s="0" t="str">
        <f aca="false">IF($A11="","",IFERROR(INDEX(Equipment!$E$5:$E$500,MATCH($A11,Equipment!$S$5:$S$500,0))&amp;"",""))</f>
        <v>K. Brooks</v>
      </c>
      <c r="E11" s="0" t="str">
        <f aca="false">IF($A11="","",IFERROR(INDEX(Equipment!$F$5:$F$500,MATCH($A11,Equipment!$S$5:$S$500,0))&amp;"",""))</f>
        <v>Storage A</v>
      </c>
      <c r="F11" s="0" t="str">
        <f aca="false">IF($A11="","",IFERROR(INDEX(Equipment!$G$5:$G$500,MATCH($A11,Equipment!$S$5:$S$500,0))&amp;"",""))</f>
        <v>In storage</v>
      </c>
      <c r="G11" s="0" t="str">
        <f aca="false">IF($A11="","",IFERROR(INDEX(Equipment!$H$5:$H$500,MATCH($A11,Equipment!$S$5:$S$500,0))&amp;"",""))</f>
        <v>Ship</v>
      </c>
      <c r="H11" s="0" t="str">
        <f aca="false">IF($A11="","",IFERROR(INDEX(Equipment!$J$5:$J$500,MATCH($A11,Equipment!$S$5:$S$500,0))&amp;"",""))</f>
        <v>CT-06</v>
      </c>
      <c r="I11" s="0" t="str">
        <f aca="false">IF($A11="","",IFERROR(INDEX(Equipment!$K$5:$K$500,MATCH($A11,Equipment!$S$5:$S$500,0))&amp;"",""))</f>
        <v/>
      </c>
      <c r="J11" s="0" t="str">
        <f aca="false">IF($A11="","",IFERROR(INDEX(Equipment!$L$5:$L$500,MATCH($A11,Equipment!$S$5:$S$500,0))&amp;"",""))</f>
        <v>Forward Base 2</v>
      </c>
      <c r="K11" s="0" t="str">
        <f aca="false">IF($A11="","",IFERROR(INDEX(Equipment!$Q$5:$Q$500,MATCH($A11,Equipment!$S$5:$S$500,0))&amp;"",""))</f>
        <v>Service overdue.</v>
      </c>
    </row>
    <row r="12" customFormat="false" ht="15" hidden="false" customHeight="false" outlineLevel="0" collapsed="false">
      <c r="A12" s="0" t="str">
        <f aca="false">IF(4&gt;$C$6,"",4)</f>
        <v/>
      </c>
      <c r="B12" s="0" t="str">
        <f aca="false">IF($A12="","",IFERROR(INDEX(Equipment!$A$5:$A$500,MATCH($A12,Equipment!$S$5:$S$500,0))&amp;"",""))</f>
        <v/>
      </c>
      <c r="C12" s="0" t="str">
        <f aca="false">IF($A12="","",IFERROR(INDEX(Equipment!$B$5:$B$500,MATCH($A12,Equipment!$S$5:$S$500,0))&amp;"",""))</f>
        <v/>
      </c>
      <c r="D12" s="0" t="str">
        <f aca="false">IF($A12="","",IFERROR(INDEX(Equipment!$E$5:$E$500,MATCH($A12,Equipment!$S$5:$S$500,0))&amp;"",""))</f>
        <v/>
      </c>
      <c r="E12" s="0" t="str">
        <f aca="false">IF($A12="","",IFERROR(INDEX(Equipment!$F$5:$F$500,MATCH($A12,Equipment!$S$5:$S$500,0))&amp;"",""))</f>
        <v/>
      </c>
      <c r="F12" s="0" t="str">
        <f aca="false">IF($A12="","",IFERROR(INDEX(Equipment!$G$5:$G$500,MATCH($A12,Equipment!$S$5:$S$500,0))&amp;"",""))</f>
        <v/>
      </c>
      <c r="G12" s="0" t="str">
        <f aca="false">IF($A12="","",IFERROR(INDEX(Equipment!$H$5:$H$500,MATCH($A12,Equipment!$S$5:$S$500,0))&amp;"",""))</f>
        <v/>
      </c>
      <c r="H12" s="0" t="str">
        <f aca="false">IF($A12="","",IFERROR(INDEX(Equipment!$J$5:$J$500,MATCH($A12,Equipment!$S$5:$S$500,0))&amp;"",""))</f>
        <v/>
      </c>
      <c r="I12" s="0" t="str">
        <f aca="false">IF($A12="","",IFERROR(INDEX(Equipment!$K$5:$K$500,MATCH($A12,Equipment!$S$5:$S$500,0))&amp;"",""))</f>
        <v/>
      </c>
      <c r="J12" s="0" t="str">
        <f aca="false">IF($A12="","",IFERROR(INDEX(Equipment!$L$5:$L$500,MATCH($A12,Equipment!$S$5:$S$500,0))&amp;"",""))</f>
        <v/>
      </c>
      <c r="K12" s="0" t="str">
        <f aca="false">IF($A12="","",IFERROR(INDEX(Equipment!$Q$5:$Q$500,MATCH($A12,Equipment!$S$5:$S$500,0))&amp;"",""))</f>
        <v/>
      </c>
    </row>
    <row r="13" customFormat="false" ht="15" hidden="false" customHeight="false" outlineLevel="0" collapsed="false">
      <c r="A13" s="0" t="str">
        <f aca="false">IF(5&gt;$C$6,"",5)</f>
        <v/>
      </c>
      <c r="B13" s="0" t="str">
        <f aca="false">IF($A13="","",IFERROR(INDEX(Equipment!$A$5:$A$500,MATCH($A13,Equipment!$S$5:$S$500,0))&amp;"",""))</f>
        <v/>
      </c>
      <c r="C13" s="0" t="str">
        <f aca="false">IF($A13="","",IFERROR(INDEX(Equipment!$B$5:$B$500,MATCH($A13,Equipment!$S$5:$S$500,0))&amp;"",""))</f>
        <v/>
      </c>
      <c r="D13" s="0" t="str">
        <f aca="false">IF($A13="","",IFERROR(INDEX(Equipment!$E$5:$E$500,MATCH($A13,Equipment!$S$5:$S$500,0))&amp;"",""))</f>
        <v/>
      </c>
      <c r="E13" s="0" t="str">
        <f aca="false">IF($A13="","",IFERROR(INDEX(Equipment!$F$5:$F$500,MATCH($A13,Equipment!$S$5:$S$500,0))&amp;"",""))</f>
        <v/>
      </c>
      <c r="F13" s="0" t="str">
        <f aca="false">IF($A13="","",IFERROR(INDEX(Equipment!$G$5:$G$500,MATCH($A13,Equipment!$S$5:$S$500,0))&amp;"",""))</f>
        <v/>
      </c>
      <c r="G13" s="0" t="str">
        <f aca="false">IF($A13="","",IFERROR(INDEX(Equipment!$H$5:$H$500,MATCH($A13,Equipment!$S$5:$S$500,0))&amp;"",""))</f>
        <v/>
      </c>
      <c r="H13" s="0" t="str">
        <f aca="false">IF($A13="","",IFERROR(INDEX(Equipment!$J$5:$J$500,MATCH($A13,Equipment!$S$5:$S$500,0))&amp;"",""))</f>
        <v/>
      </c>
      <c r="I13" s="0" t="str">
        <f aca="false">IF($A13="","",IFERROR(INDEX(Equipment!$K$5:$K$500,MATCH($A13,Equipment!$S$5:$S$500,0))&amp;"",""))</f>
        <v/>
      </c>
      <c r="J13" s="0" t="str">
        <f aca="false">IF($A13="","",IFERROR(INDEX(Equipment!$L$5:$L$500,MATCH($A13,Equipment!$S$5:$S$500,0))&amp;"",""))</f>
        <v/>
      </c>
      <c r="K13" s="0" t="str">
        <f aca="false">IF($A13="","",IFERROR(INDEX(Equipment!$Q$5:$Q$500,MATCH($A13,Equipment!$S$5:$S$500,0))&amp;"",""))</f>
        <v/>
      </c>
    </row>
    <row r="14" customFormat="false" ht="15" hidden="false" customHeight="false" outlineLevel="0" collapsed="false">
      <c r="A14" s="0" t="str">
        <f aca="false">IF(6&gt;$C$6,"",6)</f>
        <v/>
      </c>
      <c r="B14" s="0" t="str">
        <f aca="false">IF($A14="","",IFERROR(INDEX(Equipment!$A$5:$A$500,MATCH($A14,Equipment!$S$5:$S$500,0))&amp;"",""))</f>
        <v/>
      </c>
      <c r="C14" s="0" t="str">
        <f aca="false">IF($A14="","",IFERROR(INDEX(Equipment!$B$5:$B$500,MATCH($A14,Equipment!$S$5:$S$500,0))&amp;"",""))</f>
        <v/>
      </c>
      <c r="D14" s="0" t="str">
        <f aca="false">IF($A14="","",IFERROR(INDEX(Equipment!$E$5:$E$500,MATCH($A14,Equipment!$S$5:$S$500,0))&amp;"",""))</f>
        <v/>
      </c>
      <c r="E14" s="0" t="str">
        <f aca="false">IF($A14="","",IFERROR(INDEX(Equipment!$F$5:$F$500,MATCH($A14,Equipment!$S$5:$S$500,0))&amp;"",""))</f>
        <v/>
      </c>
      <c r="F14" s="0" t="str">
        <f aca="false">IF($A14="","",IFERROR(INDEX(Equipment!$G$5:$G$500,MATCH($A14,Equipment!$S$5:$S$500,0))&amp;"",""))</f>
        <v/>
      </c>
      <c r="G14" s="0" t="str">
        <f aca="false">IF($A14="","",IFERROR(INDEX(Equipment!$H$5:$H$500,MATCH($A14,Equipment!$S$5:$S$500,0))&amp;"",""))</f>
        <v/>
      </c>
      <c r="H14" s="0" t="str">
        <f aca="false">IF($A14="","",IFERROR(INDEX(Equipment!$J$5:$J$500,MATCH($A14,Equipment!$S$5:$S$500,0))&amp;"",""))</f>
        <v/>
      </c>
      <c r="I14" s="0" t="str">
        <f aca="false">IF($A14="","",IFERROR(INDEX(Equipment!$K$5:$K$500,MATCH($A14,Equipment!$S$5:$S$500,0))&amp;"",""))</f>
        <v/>
      </c>
      <c r="J14" s="0" t="str">
        <f aca="false">IF($A14="","",IFERROR(INDEX(Equipment!$L$5:$L$500,MATCH($A14,Equipment!$S$5:$S$500,0))&amp;"",""))</f>
        <v/>
      </c>
      <c r="K14" s="0" t="str">
        <f aca="false">IF($A14="","",IFERROR(INDEX(Equipment!$Q$5:$Q$500,MATCH($A14,Equipment!$S$5:$S$500,0))&amp;"",""))</f>
        <v/>
      </c>
    </row>
    <row r="15" customFormat="false" ht="15" hidden="false" customHeight="false" outlineLevel="0" collapsed="false">
      <c r="A15" s="0" t="str">
        <f aca="false">IF(7&gt;$C$6,"",7)</f>
        <v/>
      </c>
      <c r="B15" s="0" t="str">
        <f aca="false">IF($A15="","",IFERROR(INDEX(Equipment!$A$5:$A$500,MATCH($A15,Equipment!$S$5:$S$500,0))&amp;"",""))</f>
        <v/>
      </c>
      <c r="C15" s="0" t="str">
        <f aca="false">IF($A15="","",IFERROR(INDEX(Equipment!$B$5:$B$500,MATCH($A15,Equipment!$S$5:$S$500,0))&amp;"",""))</f>
        <v/>
      </c>
      <c r="D15" s="0" t="str">
        <f aca="false">IF($A15="","",IFERROR(INDEX(Equipment!$E$5:$E$500,MATCH($A15,Equipment!$S$5:$S$500,0))&amp;"",""))</f>
        <v/>
      </c>
      <c r="E15" s="0" t="str">
        <f aca="false">IF($A15="","",IFERROR(INDEX(Equipment!$F$5:$F$500,MATCH($A15,Equipment!$S$5:$S$500,0))&amp;"",""))</f>
        <v/>
      </c>
      <c r="F15" s="0" t="str">
        <f aca="false">IF($A15="","",IFERROR(INDEX(Equipment!$G$5:$G$500,MATCH($A15,Equipment!$S$5:$S$500,0))&amp;"",""))</f>
        <v/>
      </c>
      <c r="G15" s="0" t="str">
        <f aca="false">IF($A15="","",IFERROR(INDEX(Equipment!$H$5:$H$500,MATCH($A15,Equipment!$S$5:$S$500,0))&amp;"",""))</f>
        <v/>
      </c>
      <c r="H15" s="0" t="str">
        <f aca="false">IF($A15="","",IFERROR(INDEX(Equipment!$J$5:$J$500,MATCH($A15,Equipment!$S$5:$S$500,0))&amp;"",""))</f>
        <v/>
      </c>
      <c r="I15" s="0" t="str">
        <f aca="false">IF($A15="","",IFERROR(INDEX(Equipment!$K$5:$K$500,MATCH($A15,Equipment!$S$5:$S$500,0))&amp;"",""))</f>
        <v/>
      </c>
      <c r="J15" s="0" t="str">
        <f aca="false">IF($A15="","",IFERROR(INDEX(Equipment!$L$5:$L$500,MATCH($A15,Equipment!$S$5:$S$500,0))&amp;"",""))</f>
        <v/>
      </c>
      <c r="K15" s="0" t="str">
        <f aca="false">IF($A15="","",IFERROR(INDEX(Equipment!$Q$5:$Q$500,MATCH($A15,Equipment!$S$5:$S$500,0))&amp;"",""))</f>
        <v/>
      </c>
    </row>
    <row r="16" customFormat="false" ht="15" hidden="false" customHeight="false" outlineLevel="0" collapsed="false">
      <c r="A16" s="0" t="str">
        <f aca="false">IF(8&gt;$C$6,"",8)</f>
        <v/>
      </c>
      <c r="B16" s="0" t="str">
        <f aca="false">IF($A16="","",IFERROR(INDEX(Equipment!$A$5:$A$500,MATCH($A16,Equipment!$S$5:$S$500,0))&amp;"",""))</f>
        <v/>
      </c>
      <c r="C16" s="0" t="str">
        <f aca="false">IF($A16="","",IFERROR(INDEX(Equipment!$B$5:$B$500,MATCH($A16,Equipment!$S$5:$S$500,0))&amp;"",""))</f>
        <v/>
      </c>
      <c r="D16" s="0" t="str">
        <f aca="false">IF($A16="","",IFERROR(INDEX(Equipment!$E$5:$E$500,MATCH($A16,Equipment!$S$5:$S$500,0))&amp;"",""))</f>
        <v/>
      </c>
      <c r="E16" s="0" t="str">
        <f aca="false">IF($A16="","",IFERROR(INDEX(Equipment!$F$5:$F$500,MATCH($A16,Equipment!$S$5:$S$500,0))&amp;"",""))</f>
        <v/>
      </c>
      <c r="F16" s="0" t="str">
        <f aca="false">IF($A16="","",IFERROR(INDEX(Equipment!$G$5:$G$500,MATCH($A16,Equipment!$S$5:$S$500,0))&amp;"",""))</f>
        <v/>
      </c>
      <c r="G16" s="0" t="str">
        <f aca="false">IF($A16="","",IFERROR(INDEX(Equipment!$H$5:$H$500,MATCH($A16,Equipment!$S$5:$S$500,0))&amp;"",""))</f>
        <v/>
      </c>
      <c r="H16" s="0" t="str">
        <f aca="false">IF($A16="","",IFERROR(INDEX(Equipment!$J$5:$J$500,MATCH($A16,Equipment!$S$5:$S$500,0))&amp;"",""))</f>
        <v/>
      </c>
      <c r="I16" s="0" t="str">
        <f aca="false">IF($A16="","",IFERROR(INDEX(Equipment!$K$5:$K$500,MATCH($A16,Equipment!$S$5:$S$500,0))&amp;"",""))</f>
        <v/>
      </c>
      <c r="J16" s="0" t="str">
        <f aca="false">IF($A16="","",IFERROR(INDEX(Equipment!$L$5:$L$500,MATCH($A16,Equipment!$S$5:$S$500,0))&amp;"",""))</f>
        <v/>
      </c>
      <c r="K16" s="0" t="str">
        <f aca="false">IF($A16="","",IFERROR(INDEX(Equipment!$Q$5:$Q$500,MATCH($A16,Equipment!$S$5:$S$500,0))&amp;"",""))</f>
        <v/>
      </c>
    </row>
    <row r="17" customFormat="false" ht="15" hidden="false" customHeight="false" outlineLevel="0" collapsed="false">
      <c r="A17" s="0" t="str">
        <f aca="false">IF(9&gt;$C$6,"",9)</f>
        <v/>
      </c>
      <c r="B17" s="0" t="str">
        <f aca="false">IF($A17="","",IFERROR(INDEX(Equipment!$A$5:$A$500,MATCH($A17,Equipment!$S$5:$S$500,0))&amp;"",""))</f>
        <v/>
      </c>
      <c r="C17" s="0" t="str">
        <f aca="false">IF($A17="","",IFERROR(INDEX(Equipment!$B$5:$B$500,MATCH($A17,Equipment!$S$5:$S$500,0))&amp;"",""))</f>
        <v/>
      </c>
      <c r="D17" s="0" t="str">
        <f aca="false">IF($A17="","",IFERROR(INDEX(Equipment!$E$5:$E$500,MATCH($A17,Equipment!$S$5:$S$500,0))&amp;"",""))</f>
        <v/>
      </c>
      <c r="E17" s="0" t="str">
        <f aca="false">IF($A17="","",IFERROR(INDEX(Equipment!$F$5:$F$500,MATCH($A17,Equipment!$S$5:$S$500,0))&amp;"",""))</f>
        <v/>
      </c>
      <c r="F17" s="0" t="str">
        <f aca="false">IF($A17="","",IFERROR(INDEX(Equipment!$G$5:$G$500,MATCH($A17,Equipment!$S$5:$S$500,0))&amp;"",""))</f>
        <v/>
      </c>
      <c r="G17" s="0" t="str">
        <f aca="false">IF($A17="","",IFERROR(INDEX(Equipment!$H$5:$H$500,MATCH($A17,Equipment!$S$5:$S$500,0))&amp;"",""))</f>
        <v/>
      </c>
      <c r="H17" s="0" t="str">
        <f aca="false">IF($A17="","",IFERROR(INDEX(Equipment!$J$5:$J$500,MATCH($A17,Equipment!$S$5:$S$500,0))&amp;"",""))</f>
        <v/>
      </c>
      <c r="I17" s="0" t="str">
        <f aca="false">IF($A17="","",IFERROR(INDEX(Equipment!$K$5:$K$500,MATCH($A17,Equipment!$S$5:$S$500,0))&amp;"",""))</f>
        <v/>
      </c>
      <c r="J17" s="0" t="str">
        <f aca="false">IF($A17="","",IFERROR(INDEX(Equipment!$L$5:$L$500,MATCH($A17,Equipment!$S$5:$S$500,0))&amp;"",""))</f>
        <v/>
      </c>
      <c r="K17" s="0" t="str">
        <f aca="false">IF($A17="","",IFERROR(INDEX(Equipment!$Q$5:$Q$500,MATCH($A17,Equipment!$S$5:$S$500,0))&amp;"",""))</f>
        <v/>
      </c>
    </row>
    <row r="18" customFormat="false" ht="15" hidden="false" customHeight="false" outlineLevel="0" collapsed="false">
      <c r="A18" s="0" t="str">
        <f aca="false">IF(10&gt;$C$6,"",10)</f>
        <v/>
      </c>
      <c r="B18" s="0" t="str">
        <f aca="false">IF($A18="","",IFERROR(INDEX(Equipment!$A$5:$A$500,MATCH($A18,Equipment!$S$5:$S$500,0))&amp;"",""))</f>
        <v/>
      </c>
      <c r="C18" s="0" t="str">
        <f aca="false">IF($A18="","",IFERROR(INDEX(Equipment!$B$5:$B$500,MATCH($A18,Equipment!$S$5:$S$500,0))&amp;"",""))</f>
        <v/>
      </c>
      <c r="D18" s="0" t="str">
        <f aca="false">IF($A18="","",IFERROR(INDEX(Equipment!$E$5:$E$500,MATCH($A18,Equipment!$S$5:$S$500,0))&amp;"",""))</f>
        <v/>
      </c>
      <c r="E18" s="0" t="str">
        <f aca="false">IF($A18="","",IFERROR(INDEX(Equipment!$F$5:$F$500,MATCH($A18,Equipment!$S$5:$S$500,0))&amp;"",""))</f>
        <v/>
      </c>
      <c r="F18" s="0" t="str">
        <f aca="false">IF($A18="","",IFERROR(INDEX(Equipment!$G$5:$G$500,MATCH($A18,Equipment!$S$5:$S$500,0))&amp;"",""))</f>
        <v/>
      </c>
      <c r="G18" s="0" t="str">
        <f aca="false">IF($A18="","",IFERROR(INDEX(Equipment!$H$5:$H$500,MATCH($A18,Equipment!$S$5:$S$500,0))&amp;"",""))</f>
        <v/>
      </c>
      <c r="H18" s="0" t="str">
        <f aca="false">IF($A18="","",IFERROR(INDEX(Equipment!$J$5:$J$500,MATCH($A18,Equipment!$S$5:$S$500,0))&amp;"",""))</f>
        <v/>
      </c>
      <c r="I18" s="0" t="str">
        <f aca="false">IF($A18="","",IFERROR(INDEX(Equipment!$K$5:$K$500,MATCH($A18,Equipment!$S$5:$S$500,0))&amp;"",""))</f>
        <v/>
      </c>
      <c r="J18" s="0" t="str">
        <f aca="false">IF($A18="","",IFERROR(INDEX(Equipment!$L$5:$L$500,MATCH($A18,Equipment!$S$5:$S$500,0))&amp;"",""))</f>
        <v/>
      </c>
      <c r="K18" s="0" t="str">
        <f aca="false">IF($A18="","",IFERROR(INDEX(Equipment!$Q$5:$Q$500,MATCH($A18,Equipment!$S$5:$S$500,0))&amp;"",""))</f>
        <v/>
      </c>
    </row>
    <row r="19" customFormat="false" ht="15" hidden="false" customHeight="false" outlineLevel="0" collapsed="false">
      <c r="A19" s="0" t="str">
        <f aca="false">IF(11&gt;$C$6,"",11)</f>
        <v/>
      </c>
      <c r="B19" s="0" t="str">
        <f aca="false">IF($A19="","",IFERROR(INDEX(Equipment!$A$5:$A$500,MATCH($A19,Equipment!$S$5:$S$500,0))&amp;"",""))</f>
        <v/>
      </c>
      <c r="C19" s="0" t="str">
        <f aca="false">IF($A19="","",IFERROR(INDEX(Equipment!$B$5:$B$500,MATCH($A19,Equipment!$S$5:$S$500,0))&amp;"",""))</f>
        <v/>
      </c>
      <c r="D19" s="0" t="str">
        <f aca="false">IF($A19="","",IFERROR(INDEX(Equipment!$E$5:$E$500,MATCH($A19,Equipment!$S$5:$S$500,0))&amp;"",""))</f>
        <v/>
      </c>
      <c r="E19" s="0" t="str">
        <f aca="false">IF($A19="","",IFERROR(INDEX(Equipment!$F$5:$F$500,MATCH($A19,Equipment!$S$5:$S$500,0))&amp;"",""))</f>
        <v/>
      </c>
      <c r="F19" s="0" t="str">
        <f aca="false">IF($A19="","",IFERROR(INDEX(Equipment!$G$5:$G$500,MATCH($A19,Equipment!$S$5:$S$500,0))&amp;"",""))</f>
        <v/>
      </c>
      <c r="G19" s="0" t="str">
        <f aca="false">IF($A19="","",IFERROR(INDEX(Equipment!$H$5:$H$500,MATCH($A19,Equipment!$S$5:$S$500,0))&amp;"",""))</f>
        <v/>
      </c>
      <c r="H19" s="0" t="str">
        <f aca="false">IF($A19="","",IFERROR(INDEX(Equipment!$J$5:$J$500,MATCH($A19,Equipment!$S$5:$S$500,0))&amp;"",""))</f>
        <v/>
      </c>
      <c r="I19" s="0" t="str">
        <f aca="false">IF($A19="","",IFERROR(INDEX(Equipment!$K$5:$K$500,MATCH($A19,Equipment!$S$5:$S$500,0))&amp;"",""))</f>
        <v/>
      </c>
      <c r="J19" s="0" t="str">
        <f aca="false">IF($A19="","",IFERROR(INDEX(Equipment!$L$5:$L$500,MATCH($A19,Equipment!$S$5:$S$500,0))&amp;"",""))</f>
        <v/>
      </c>
      <c r="K19" s="0" t="str">
        <f aca="false">IF($A19="","",IFERROR(INDEX(Equipment!$Q$5:$Q$500,MATCH($A19,Equipment!$S$5:$S$500,0))&amp;"",""))</f>
        <v/>
      </c>
    </row>
    <row r="20" customFormat="false" ht="15" hidden="false" customHeight="false" outlineLevel="0" collapsed="false">
      <c r="A20" s="0" t="str">
        <f aca="false">IF(12&gt;$C$6,"",12)</f>
        <v/>
      </c>
      <c r="B20" s="0" t="str">
        <f aca="false">IF($A20="","",IFERROR(INDEX(Equipment!$A$5:$A$500,MATCH($A20,Equipment!$S$5:$S$500,0))&amp;"",""))</f>
        <v/>
      </c>
      <c r="C20" s="0" t="str">
        <f aca="false">IF($A20="","",IFERROR(INDEX(Equipment!$B$5:$B$500,MATCH($A20,Equipment!$S$5:$S$500,0))&amp;"",""))</f>
        <v/>
      </c>
      <c r="D20" s="0" t="str">
        <f aca="false">IF($A20="","",IFERROR(INDEX(Equipment!$E$5:$E$500,MATCH($A20,Equipment!$S$5:$S$500,0))&amp;"",""))</f>
        <v/>
      </c>
      <c r="E20" s="0" t="str">
        <f aca="false">IF($A20="","",IFERROR(INDEX(Equipment!$F$5:$F$500,MATCH($A20,Equipment!$S$5:$S$500,0))&amp;"",""))</f>
        <v/>
      </c>
      <c r="F20" s="0" t="str">
        <f aca="false">IF($A20="","",IFERROR(INDEX(Equipment!$G$5:$G$500,MATCH($A20,Equipment!$S$5:$S$500,0))&amp;"",""))</f>
        <v/>
      </c>
      <c r="G20" s="0" t="str">
        <f aca="false">IF($A20="","",IFERROR(INDEX(Equipment!$H$5:$H$500,MATCH($A20,Equipment!$S$5:$S$500,0))&amp;"",""))</f>
        <v/>
      </c>
      <c r="H20" s="0" t="str">
        <f aca="false">IF($A20="","",IFERROR(INDEX(Equipment!$J$5:$J$500,MATCH($A20,Equipment!$S$5:$S$500,0))&amp;"",""))</f>
        <v/>
      </c>
      <c r="I20" s="0" t="str">
        <f aca="false">IF($A20="","",IFERROR(INDEX(Equipment!$K$5:$K$500,MATCH($A20,Equipment!$S$5:$S$500,0))&amp;"",""))</f>
        <v/>
      </c>
      <c r="J20" s="0" t="str">
        <f aca="false">IF($A20="","",IFERROR(INDEX(Equipment!$L$5:$L$500,MATCH($A20,Equipment!$S$5:$S$500,0))&amp;"",""))</f>
        <v/>
      </c>
      <c r="K20" s="0" t="str">
        <f aca="false">IF($A20="","",IFERROR(INDEX(Equipment!$Q$5:$Q$500,MATCH($A20,Equipment!$S$5:$S$500,0))&amp;"",""))</f>
        <v/>
      </c>
    </row>
    <row r="21" customFormat="false" ht="15" hidden="false" customHeight="false" outlineLevel="0" collapsed="false">
      <c r="A21" s="0" t="str">
        <f aca="false">IF(13&gt;$C$6,"",13)</f>
        <v/>
      </c>
      <c r="B21" s="0" t="str">
        <f aca="false">IF($A21="","",IFERROR(INDEX(Equipment!$A$5:$A$500,MATCH($A21,Equipment!$S$5:$S$500,0))&amp;"",""))</f>
        <v/>
      </c>
      <c r="C21" s="0" t="str">
        <f aca="false">IF($A21="","",IFERROR(INDEX(Equipment!$B$5:$B$500,MATCH($A21,Equipment!$S$5:$S$500,0))&amp;"",""))</f>
        <v/>
      </c>
      <c r="D21" s="0" t="str">
        <f aca="false">IF($A21="","",IFERROR(INDEX(Equipment!$E$5:$E$500,MATCH($A21,Equipment!$S$5:$S$500,0))&amp;"",""))</f>
        <v/>
      </c>
      <c r="E21" s="0" t="str">
        <f aca="false">IF($A21="","",IFERROR(INDEX(Equipment!$F$5:$F$500,MATCH($A21,Equipment!$S$5:$S$500,0))&amp;"",""))</f>
        <v/>
      </c>
      <c r="F21" s="0" t="str">
        <f aca="false">IF($A21="","",IFERROR(INDEX(Equipment!$G$5:$G$500,MATCH($A21,Equipment!$S$5:$S$500,0))&amp;"",""))</f>
        <v/>
      </c>
      <c r="G21" s="0" t="str">
        <f aca="false">IF($A21="","",IFERROR(INDEX(Equipment!$H$5:$H$500,MATCH($A21,Equipment!$S$5:$S$500,0))&amp;"",""))</f>
        <v/>
      </c>
      <c r="H21" s="0" t="str">
        <f aca="false">IF($A21="","",IFERROR(INDEX(Equipment!$J$5:$J$500,MATCH($A21,Equipment!$S$5:$S$500,0))&amp;"",""))</f>
        <v/>
      </c>
      <c r="I21" s="0" t="str">
        <f aca="false">IF($A21="","",IFERROR(INDEX(Equipment!$K$5:$K$500,MATCH($A21,Equipment!$S$5:$S$500,0))&amp;"",""))</f>
        <v/>
      </c>
      <c r="J21" s="0" t="str">
        <f aca="false">IF($A21="","",IFERROR(INDEX(Equipment!$L$5:$L$500,MATCH($A21,Equipment!$S$5:$S$500,0))&amp;"",""))</f>
        <v/>
      </c>
      <c r="K21" s="0" t="str">
        <f aca="false">IF($A21="","",IFERROR(INDEX(Equipment!$Q$5:$Q$500,MATCH($A21,Equipment!$S$5:$S$500,0))&amp;"",""))</f>
        <v/>
      </c>
    </row>
    <row r="22" customFormat="false" ht="15" hidden="false" customHeight="false" outlineLevel="0" collapsed="false">
      <c r="A22" s="0" t="str">
        <f aca="false">IF(14&gt;$C$6,"",14)</f>
        <v/>
      </c>
      <c r="B22" s="0" t="str">
        <f aca="false">IF($A22="","",IFERROR(INDEX(Equipment!$A$5:$A$500,MATCH($A22,Equipment!$S$5:$S$500,0))&amp;"",""))</f>
        <v/>
      </c>
      <c r="C22" s="0" t="str">
        <f aca="false">IF($A22="","",IFERROR(INDEX(Equipment!$B$5:$B$500,MATCH($A22,Equipment!$S$5:$S$500,0))&amp;"",""))</f>
        <v/>
      </c>
      <c r="D22" s="0" t="str">
        <f aca="false">IF($A22="","",IFERROR(INDEX(Equipment!$E$5:$E$500,MATCH($A22,Equipment!$S$5:$S$500,0))&amp;"",""))</f>
        <v/>
      </c>
      <c r="E22" s="0" t="str">
        <f aca="false">IF($A22="","",IFERROR(INDEX(Equipment!$F$5:$F$500,MATCH($A22,Equipment!$S$5:$S$500,0))&amp;"",""))</f>
        <v/>
      </c>
      <c r="F22" s="0" t="str">
        <f aca="false">IF($A22="","",IFERROR(INDEX(Equipment!$G$5:$G$500,MATCH($A22,Equipment!$S$5:$S$500,0))&amp;"",""))</f>
        <v/>
      </c>
      <c r="G22" s="0" t="str">
        <f aca="false">IF($A22="","",IFERROR(INDEX(Equipment!$H$5:$H$500,MATCH($A22,Equipment!$S$5:$S$500,0))&amp;"",""))</f>
        <v/>
      </c>
      <c r="H22" s="0" t="str">
        <f aca="false">IF($A22="","",IFERROR(INDEX(Equipment!$J$5:$J$500,MATCH($A22,Equipment!$S$5:$S$500,0))&amp;"",""))</f>
        <v/>
      </c>
      <c r="I22" s="0" t="str">
        <f aca="false">IF($A22="","",IFERROR(INDEX(Equipment!$K$5:$K$500,MATCH($A22,Equipment!$S$5:$S$500,0))&amp;"",""))</f>
        <v/>
      </c>
      <c r="J22" s="0" t="str">
        <f aca="false">IF($A22="","",IFERROR(INDEX(Equipment!$L$5:$L$500,MATCH($A22,Equipment!$S$5:$S$500,0))&amp;"",""))</f>
        <v/>
      </c>
      <c r="K22" s="0" t="str">
        <f aca="false">IF($A22="","",IFERROR(INDEX(Equipment!$Q$5:$Q$500,MATCH($A22,Equipment!$S$5:$S$500,0))&amp;"",""))</f>
        <v/>
      </c>
    </row>
    <row r="23" customFormat="false" ht="15" hidden="false" customHeight="false" outlineLevel="0" collapsed="false">
      <c r="A23" s="0" t="str">
        <f aca="false">IF(15&gt;$C$6,"",15)</f>
        <v/>
      </c>
      <c r="B23" s="0" t="str">
        <f aca="false">IF($A23="","",IFERROR(INDEX(Equipment!$A$5:$A$500,MATCH($A23,Equipment!$S$5:$S$500,0))&amp;"",""))</f>
        <v/>
      </c>
      <c r="C23" s="0" t="str">
        <f aca="false">IF($A23="","",IFERROR(INDEX(Equipment!$B$5:$B$500,MATCH($A23,Equipment!$S$5:$S$500,0))&amp;"",""))</f>
        <v/>
      </c>
      <c r="D23" s="0" t="str">
        <f aca="false">IF($A23="","",IFERROR(INDEX(Equipment!$E$5:$E$500,MATCH($A23,Equipment!$S$5:$S$500,0))&amp;"",""))</f>
        <v/>
      </c>
      <c r="E23" s="0" t="str">
        <f aca="false">IF($A23="","",IFERROR(INDEX(Equipment!$F$5:$F$500,MATCH($A23,Equipment!$S$5:$S$500,0))&amp;"",""))</f>
        <v/>
      </c>
      <c r="F23" s="0" t="str">
        <f aca="false">IF($A23="","",IFERROR(INDEX(Equipment!$G$5:$G$500,MATCH($A23,Equipment!$S$5:$S$500,0))&amp;"",""))</f>
        <v/>
      </c>
      <c r="G23" s="0" t="str">
        <f aca="false">IF($A23="","",IFERROR(INDEX(Equipment!$H$5:$H$500,MATCH($A23,Equipment!$S$5:$S$500,0))&amp;"",""))</f>
        <v/>
      </c>
      <c r="H23" s="0" t="str">
        <f aca="false">IF($A23="","",IFERROR(INDEX(Equipment!$J$5:$J$500,MATCH($A23,Equipment!$S$5:$S$500,0))&amp;"",""))</f>
        <v/>
      </c>
      <c r="I23" s="0" t="str">
        <f aca="false">IF($A23="","",IFERROR(INDEX(Equipment!$K$5:$K$500,MATCH($A23,Equipment!$S$5:$S$500,0))&amp;"",""))</f>
        <v/>
      </c>
      <c r="J23" s="0" t="str">
        <f aca="false">IF($A23="","",IFERROR(INDEX(Equipment!$L$5:$L$500,MATCH($A23,Equipment!$S$5:$S$500,0))&amp;"",""))</f>
        <v/>
      </c>
      <c r="K23" s="0" t="str">
        <f aca="false">IF($A23="","",IFERROR(INDEX(Equipment!$Q$5:$Q$500,MATCH($A23,Equipment!$S$5:$S$500,0))&amp;"",""))</f>
        <v/>
      </c>
    </row>
    <row r="24" customFormat="false" ht="15" hidden="false" customHeight="false" outlineLevel="0" collapsed="false">
      <c r="A24" s="0" t="str">
        <f aca="false">IF(16&gt;$C$6,"",16)</f>
        <v/>
      </c>
      <c r="B24" s="0" t="str">
        <f aca="false">IF($A24="","",IFERROR(INDEX(Equipment!$A$5:$A$500,MATCH($A24,Equipment!$S$5:$S$500,0))&amp;"",""))</f>
        <v/>
      </c>
      <c r="C24" s="0" t="str">
        <f aca="false">IF($A24="","",IFERROR(INDEX(Equipment!$B$5:$B$500,MATCH($A24,Equipment!$S$5:$S$500,0))&amp;"",""))</f>
        <v/>
      </c>
      <c r="D24" s="0" t="str">
        <f aca="false">IF($A24="","",IFERROR(INDEX(Equipment!$E$5:$E$500,MATCH($A24,Equipment!$S$5:$S$500,0))&amp;"",""))</f>
        <v/>
      </c>
      <c r="E24" s="0" t="str">
        <f aca="false">IF($A24="","",IFERROR(INDEX(Equipment!$F$5:$F$500,MATCH($A24,Equipment!$S$5:$S$500,0))&amp;"",""))</f>
        <v/>
      </c>
      <c r="F24" s="0" t="str">
        <f aca="false">IF($A24="","",IFERROR(INDEX(Equipment!$G$5:$G$500,MATCH($A24,Equipment!$S$5:$S$500,0))&amp;"",""))</f>
        <v/>
      </c>
      <c r="G24" s="0" t="str">
        <f aca="false">IF($A24="","",IFERROR(INDEX(Equipment!$H$5:$H$500,MATCH($A24,Equipment!$S$5:$S$500,0))&amp;"",""))</f>
        <v/>
      </c>
      <c r="H24" s="0" t="str">
        <f aca="false">IF($A24="","",IFERROR(INDEX(Equipment!$J$5:$J$500,MATCH($A24,Equipment!$S$5:$S$500,0))&amp;"",""))</f>
        <v/>
      </c>
      <c r="I24" s="0" t="str">
        <f aca="false">IF($A24="","",IFERROR(INDEX(Equipment!$K$5:$K$500,MATCH($A24,Equipment!$S$5:$S$500,0))&amp;"",""))</f>
        <v/>
      </c>
      <c r="J24" s="0" t="str">
        <f aca="false">IF($A24="","",IFERROR(INDEX(Equipment!$L$5:$L$500,MATCH($A24,Equipment!$S$5:$S$500,0))&amp;"",""))</f>
        <v/>
      </c>
      <c r="K24" s="0" t="str">
        <f aca="false">IF($A24="","",IFERROR(INDEX(Equipment!$Q$5:$Q$500,MATCH($A24,Equipment!$S$5:$S$500,0))&amp;"",""))</f>
        <v/>
      </c>
    </row>
    <row r="25" customFormat="false" ht="15" hidden="false" customHeight="false" outlineLevel="0" collapsed="false">
      <c r="A25" s="0" t="str">
        <f aca="false">IF(17&gt;$C$6,"",17)</f>
        <v/>
      </c>
      <c r="B25" s="0" t="str">
        <f aca="false">IF($A25="","",IFERROR(INDEX(Equipment!$A$5:$A$500,MATCH($A25,Equipment!$S$5:$S$500,0))&amp;"",""))</f>
        <v/>
      </c>
      <c r="C25" s="0" t="str">
        <f aca="false">IF($A25="","",IFERROR(INDEX(Equipment!$B$5:$B$500,MATCH($A25,Equipment!$S$5:$S$500,0))&amp;"",""))</f>
        <v/>
      </c>
      <c r="D25" s="0" t="str">
        <f aca="false">IF($A25="","",IFERROR(INDEX(Equipment!$E$5:$E$500,MATCH($A25,Equipment!$S$5:$S$500,0))&amp;"",""))</f>
        <v/>
      </c>
      <c r="E25" s="0" t="str">
        <f aca="false">IF($A25="","",IFERROR(INDEX(Equipment!$F$5:$F$500,MATCH($A25,Equipment!$S$5:$S$500,0))&amp;"",""))</f>
        <v/>
      </c>
      <c r="F25" s="0" t="str">
        <f aca="false">IF($A25="","",IFERROR(INDEX(Equipment!$G$5:$G$500,MATCH($A25,Equipment!$S$5:$S$500,0))&amp;"",""))</f>
        <v/>
      </c>
      <c r="G25" s="0" t="str">
        <f aca="false">IF($A25="","",IFERROR(INDEX(Equipment!$H$5:$H$500,MATCH($A25,Equipment!$S$5:$S$500,0))&amp;"",""))</f>
        <v/>
      </c>
      <c r="H25" s="0" t="str">
        <f aca="false">IF($A25="","",IFERROR(INDEX(Equipment!$J$5:$J$500,MATCH($A25,Equipment!$S$5:$S$500,0))&amp;"",""))</f>
        <v/>
      </c>
      <c r="I25" s="0" t="str">
        <f aca="false">IF($A25="","",IFERROR(INDEX(Equipment!$K$5:$K$500,MATCH($A25,Equipment!$S$5:$S$500,0))&amp;"",""))</f>
        <v/>
      </c>
      <c r="J25" s="0" t="str">
        <f aca="false">IF($A25="","",IFERROR(INDEX(Equipment!$L$5:$L$500,MATCH($A25,Equipment!$S$5:$S$500,0))&amp;"",""))</f>
        <v/>
      </c>
      <c r="K25" s="0" t="str">
        <f aca="false">IF($A25="","",IFERROR(INDEX(Equipment!$Q$5:$Q$500,MATCH($A25,Equipment!$S$5:$S$500,0))&amp;"",""))</f>
        <v/>
      </c>
    </row>
    <row r="26" customFormat="false" ht="15" hidden="false" customHeight="false" outlineLevel="0" collapsed="false">
      <c r="A26" s="0" t="str">
        <f aca="false">IF(18&gt;$C$6,"",18)</f>
        <v/>
      </c>
      <c r="B26" s="0" t="str">
        <f aca="false">IF($A26="","",IFERROR(INDEX(Equipment!$A$5:$A$500,MATCH($A26,Equipment!$S$5:$S$500,0))&amp;"",""))</f>
        <v/>
      </c>
      <c r="C26" s="0" t="str">
        <f aca="false">IF($A26="","",IFERROR(INDEX(Equipment!$B$5:$B$500,MATCH($A26,Equipment!$S$5:$S$500,0))&amp;"",""))</f>
        <v/>
      </c>
      <c r="D26" s="0" t="str">
        <f aca="false">IF($A26="","",IFERROR(INDEX(Equipment!$E$5:$E$500,MATCH($A26,Equipment!$S$5:$S$500,0))&amp;"",""))</f>
        <v/>
      </c>
      <c r="E26" s="0" t="str">
        <f aca="false">IF($A26="","",IFERROR(INDEX(Equipment!$F$5:$F$500,MATCH($A26,Equipment!$S$5:$S$500,0))&amp;"",""))</f>
        <v/>
      </c>
      <c r="F26" s="0" t="str">
        <f aca="false">IF($A26="","",IFERROR(INDEX(Equipment!$G$5:$G$500,MATCH($A26,Equipment!$S$5:$S$500,0))&amp;"",""))</f>
        <v/>
      </c>
      <c r="G26" s="0" t="str">
        <f aca="false">IF($A26="","",IFERROR(INDEX(Equipment!$H$5:$H$500,MATCH($A26,Equipment!$S$5:$S$500,0))&amp;"",""))</f>
        <v/>
      </c>
      <c r="H26" s="0" t="str">
        <f aca="false">IF($A26="","",IFERROR(INDEX(Equipment!$J$5:$J$500,MATCH($A26,Equipment!$S$5:$S$500,0))&amp;"",""))</f>
        <v/>
      </c>
      <c r="I26" s="0" t="str">
        <f aca="false">IF($A26="","",IFERROR(INDEX(Equipment!$K$5:$K$500,MATCH($A26,Equipment!$S$5:$S$500,0))&amp;"",""))</f>
        <v/>
      </c>
      <c r="J26" s="0" t="str">
        <f aca="false">IF($A26="","",IFERROR(INDEX(Equipment!$L$5:$L$500,MATCH($A26,Equipment!$S$5:$S$500,0))&amp;"",""))</f>
        <v/>
      </c>
      <c r="K26" s="0" t="str">
        <f aca="false">IF($A26="","",IFERROR(INDEX(Equipment!$Q$5:$Q$500,MATCH($A26,Equipment!$S$5:$S$500,0))&amp;"",""))</f>
        <v/>
      </c>
    </row>
    <row r="27" customFormat="false" ht="15" hidden="false" customHeight="false" outlineLevel="0" collapsed="false">
      <c r="A27" s="0" t="str">
        <f aca="false">IF(19&gt;$C$6,"",19)</f>
        <v/>
      </c>
      <c r="B27" s="0" t="str">
        <f aca="false">IF($A27="","",IFERROR(INDEX(Equipment!$A$5:$A$500,MATCH($A27,Equipment!$S$5:$S$500,0))&amp;"",""))</f>
        <v/>
      </c>
      <c r="C27" s="0" t="str">
        <f aca="false">IF($A27="","",IFERROR(INDEX(Equipment!$B$5:$B$500,MATCH($A27,Equipment!$S$5:$S$500,0))&amp;"",""))</f>
        <v/>
      </c>
      <c r="D27" s="0" t="str">
        <f aca="false">IF($A27="","",IFERROR(INDEX(Equipment!$E$5:$E$500,MATCH($A27,Equipment!$S$5:$S$500,0))&amp;"",""))</f>
        <v/>
      </c>
      <c r="E27" s="0" t="str">
        <f aca="false">IF($A27="","",IFERROR(INDEX(Equipment!$F$5:$F$500,MATCH($A27,Equipment!$S$5:$S$500,0))&amp;"",""))</f>
        <v/>
      </c>
      <c r="F27" s="0" t="str">
        <f aca="false">IF($A27="","",IFERROR(INDEX(Equipment!$G$5:$G$500,MATCH($A27,Equipment!$S$5:$S$500,0))&amp;"",""))</f>
        <v/>
      </c>
      <c r="G27" s="0" t="str">
        <f aca="false">IF($A27="","",IFERROR(INDEX(Equipment!$H$5:$H$500,MATCH($A27,Equipment!$S$5:$S$500,0))&amp;"",""))</f>
        <v/>
      </c>
      <c r="H27" s="0" t="str">
        <f aca="false">IF($A27="","",IFERROR(INDEX(Equipment!$J$5:$J$500,MATCH($A27,Equipment!$S$5:$S$500,0))&amp;"",""))</f>
        <v/>
      </c>
      <c r="I27" s="0" t="str">
        <f aca="false">IF($A27="","",IFERROR(INDEX(Equipment!$K$5:$K$500,MATCH($A27,Equipment!$S$5:$S$500,0))&amp;"",""))</f>
        <v/>
      </c>
      <c r="J27" s="0" t="str">
        <f aca="false">IF($A27="","",IFERROR(INDEX(Equipment!$L$5:$L$500,MATCH($A27,Equipment!$S$5:$S$500,0))&amp;"",""))</f>
        <v/>
      </c>
      <c r="K27" s="0" t="str">
        <f aca="false">IF($A27="","",IFERROR(INDEX(Equipment!$Q$5:$Q$500,MATCH($A27,Equipment!$S$5:$S$500,0))&amp;"",""))</f>
        <v/>
      </c>
    </row>
    <row r="28" customFormat="false" ht="15" hidden="false" customHeight="false" outlineLevel="0" collapsed="false">
      <c r="A28" s="0" t="str">
        <f aca="false">IF(20&gt;$C$6,"",20)</f>
        <v/>
      </c>
      <c r="B28" s="0" t="str">
        <f aca="false">IF($A28="","",IFERROR(INDEX(Equipment!$A$5:$A$500,MATCH($A28,Equipment!$S$5:$S$500,0))&amp;"",""))</f>
        <v/>
      </c>
      <c r="C28" s="0" t="str">
        <f aca="false">IF($A28="","",IFERROR(INDEX(Equipment!$B$5:$B$500,MATCH($A28,Equipment!$S$5:$S$500,0))&amp;"",""))</f>
        <v/>
      </c>
      <c r="D28" s="0" t="str">
        <f aca="false">IF($A28="","",IFERROR(INDEX(Equipment!$E$5:$E$500,MATCH($A28,Equipment!$S$5:$S$500,0))&amp;"",""))</f>
        <v/>
      </c>
      <c r="E28" s="0" t="str">
        <f aca="false">IF($A28="","",IFERROR(INDEX(Equipment!$F$5:$F$500,MATCH($A28,Equipment!$S$5:$S$500,0))&amp;"",""))</f>
        <v/>
      </c>
      <c r="F28" s="0" t="str">
        <f aca="false">IF($A28="","",IFERROR(INDEX(Equipment!$G$5:$G$500,MATCH($A28,Equipment!$S$5:$S$500,0))&amp;"",""))</f>
        <v/>
      </c>
      <c r="G28" s="0" t="str">
        <f aca="false">IF($A28="","",IFERROR(INDEX(Equipment!$H$5:$H$500,MATCH($A28,Equipment!$S$5:$S$500,0))&amp;"",""))</f>
        <v/>
      </c>
      <c r="H28" s="0" t="str">
        <f aca="false">IF($A28="","",IFERROR(INDEX(Equipment!$J$5:$J$500,MATCH($A28,Equipment!$S$5:$S$500,0))&amp;"",""))</f>
        <v/>
      </c>
      <c r="I28" s="0" t="str">
        <f aca="false">IF($A28="","",IFERROR(INDEX(Equipment!$K$5:$K$500,MATCH($A28,Equipment!$S$5:$S$500,0))&amp;"",""))</f>
        <v/>
      </c>
      <c r="J28" s="0" t="str">
        <f aca="false">IF($A28="","",IFERROR(INDEX(Equipment!$L$5:$L$500,MATCH($A28,Equipment!$S$5:$S$500,0))&amp;"",""))</f>
        <v/>
      </c>
      <c r="K28" s="0" t="str">
        <f aca="false">IF($A28="","",IFERROR(INDEX(Equipment!$Q$5:$Q$500,MATCH($A28,Equipment!$S$5:$S$500,0))&amp;"",""))</f>
        <v/>
      </c>
    </row>
    <row r="29" customFormat="false" ht="15" hidden="false" customHeight="false" outlineLevel="0" collapsed="false">
      <c r="A29" s="0" t="str">
        <f aca="false">IF(21&gt;$C$6,"",21)</f>
        <v/>
      </c>
      <c r="B29" s="0" t="str">
        <f aca="false">IF($A29="","",IFERROR(INDEX(Equipment!$A$5:$A$500,MATCH($A29,Equipment!$S$5:$S$500,0))&amp;"",""))</f>
        <v/>
      </c>
      <c r="C29" s="0" t="str">
        <f aca="false">IF($A29="","",IFERROR(INDEX(Equipment!$B$5:$B$500,MATCH($A29,Equipment!$S$5:$S$500,0))&amp;"",""))</f>
        <v/>
      </c>
      <c r="D29" s="0" t="str">
        <f aca="false">IF($A29="","",IFERROR(INDEX(Equipment!$E$5:$E$500,MATCH($A29,Equipment!$S$5:$S$500,0))&amp;"",""))</f>
        <v/>
      </c>
      <c r="E29" s="0" t="str">
        <f aca="false">IF($A29="","",IFERROR(INDEX(Equipment!$F$5:$F$500,MATCH($A29,Equipment!$S$5:$S$500,0))&amp;"",""))</f>
        <v/>
      </c>
      <c r="F29" s="0" t="str">
        <f aca="false">IF($A29="","",IFERROR(INDEX(Equipment!$G$5:$G$500,MATCH($A29,Equipment!$S$5:$S$500,0))&amp;"",""))</f>
        <v/>
      </c>
      <c r="G29" s="0" t="str">
        <f aca="false">IF($A29="","",IFERROR(INDEX(Equipment!$H$5:$H$500,MATCH($A29,Equipment!$S$5:$S$500,0))&amp;"",""))</f>
        <v/>
      </c>
      <c r="H29" s="0" t="str">
        <f aca="false">IF($A29="","",IFERROR(INDEX(Equipment!$J$5:$J$500,MATCH($A29,Equipment!$S$5:$S$500,0))&amp;"",""))</f>
        <v/>
      </c>
      <c r="I29" s="0" t="str">
        <f aca="false">IF($A29="","",IFERROR(INDEX(Equipment!$K$5:$K$500,MATCH($A29,Equipment!$S$5:$S$500,0))&amp;"",""))</f>
        <v/>
      </c>
      <c r="J29" s="0" t="str">
        <f aca="false">IF($A29="","",IFERROR(INDEX(Equipment!$L$5:$L$500,MATCH($A29,Equipment!$S$5:$S$500,0))&amp;"",""))</f>
        <v/>
      </c>
      <c r="K29" s="0" t="str">
        <f aca="false">IF($A29="","",IFERROR(INDEX(Equipment!$Q$5:$Q$500,MATCH($A29,Equipment!$S$5:$S$500,0))&amp;"",""))</f>
        <v/>
      </c>
    </row>
    <row r="30" customFormat="false" ht="15" hidden="false" customHeight="false" outlineLevel="0" collapsed="false">
      <c r="A30" s="0" t="str">
        <f aca="false">IF(22&gt;$C$6,"",22)</f>
        <v/>
      </c>
      <c r="B30" s="0" t="str">
        <f aca="false">IF($A30="","",IFERROR(INDEX(Equipment!$A$5:$A$500,MATCH($A30,Equipment!$S$5:$S$500,0))&amp;"",""))</f>
        <v/>
      </c>
      <c r="C30" s="0" t="str">
        <f aca="false">IF($A30="","",IFERROR(INDEX(Equipment!$B$5:$B$500,MATCH($A30,Equipment!$S$5:$S$500,0))&amp;"",""))</f>
        <v/>
      </c>
      <c r="D30" s="0" t="str">
        <f aca="false">IF($A30="","",IFERROR(INDEX(Equipment!$E$5:$E$500,MATCH($A30,Equipment!$S$5:$S$500,0))&amp;"",""))</f>
        <v/>
      </c>
      <c r="E30" s="0" t="str">
        <f aca="false">IF($A30="","",IFERROR(INDEX(Equipment!$F$5:$F$500,MATCH($A30,Equipment!$S$5:$S$500,0))&amp;"",""))</f>
        <v/>
      </c>
      <c r="F30" s="0" t="str">
        <f aca="false">IF($A30="","",IFERROR(INDEX(Equipment!$G$5:$G$500,MATCH($A30,Equipment!$S$5:$S$500,0))&amp;"",""))</f>
        <v/>
      </c>
      <c r="G30" s="0" t="str">
        <f aca="false">IF($A30="","",IFERROR(INDEX(Equipment!$H$5:$H$500,MATCH($A30,Equipment!$S$5:$S$500,0))&amp;"",""))</f>
        <v/>
      </c>
      <c r="H30" s="0" t="str">
        <f aca="false">IF($A30="","",IFERROR(INDEX(Equipment!$J$5:$J$500,MATCH($A30,Equipment!$S$5:$S$500,0))&amp;"",""))</f>
        <v/>
      </c>
      <c r="I30" s="0" t="str">
        <f aca="false">IF($A30="","",IFERROR(INDEX(Equipment!$K$5:$K$500,MATCH($A30,Equipment!$S$5:$S$500,0))&amp;"",""))</f>
        <v/>
      </c>
      <c r="J30" s="0" t="str">
        <f aca="false">IF($A30="","",IFERROR(INDEX(Equipment!$L$5:$L$500,MATCH($A30,Equipment!$S$5:$S$500,0))&amp;"",""))</f>
        <v/>
      </c>
      <c r="K30" s="0" t="str">
        <f aca="false">IF($A30="","",IFERROR(INDEX(Equipment!$Q$5:$Q$500,MATCH($A30,Equipment!$S$5:$S$500,0))&amp;"",""))</f>
        <v/>
      </c>
    </row>
    <row r="31" customFormat="false" ht="15" hidden="false" customHeight="false" outlineLevel="0" collapsed="false">
      <c r="A31" s="0" t="str">
        <f aca="false">IF(23&gt;$C$6,"",23)</f>
        <v/>
      </c>
      <c r="B31" s="0" t="str">
        <f aca="false">IF($A31="","",IFERROR(INDEX(Equipment!$A$5:$A$500,MATCH($A31,Equipment!$S$5:$S$500,0))&amp;"",""))</f>
        <v/>
      </c>
      <c r="C31" s="0" t="str">
        <f aca="false">IF($A31="","",IFERROR(INDEX(Equipment!$B$5:$B$500,MATCH($A31,Equipment!$S$5:$S$500,0))&amp;"",""))</f>
        <v/>
      </c>
      <c r="D31" s="0" t="str">
        <f aca="false">IF($A31="","",IFERROR(INDEX(Equipment!$E$5:$E$500,MATCH($A31,Equipment!$S$5:$S$500,0))&amp;"",""))</f>
        <v/>
      </c>
      <c r="E31" s="0" t="str">
        <f aca="false">IF($A31="","",IFERROR(INDEX(Equipment!$F$5:$F$500,MATCH($A31,Equipment!$S$5:$S$500,0))&amp;"",""))</f>
        <v/>
      </c>
      <c r="F31" s="0" t="str">
        <f aca="false">IF($A31="","",IFERROR(INDEX(Equipment!$G$5:$G$500,MATCH($A31,Equipment!$S$5:$S$500,0))&amp;"",""))</f>
        <v/>
      </c>
      <c r="G31" s="0" t="str">
        <f aca="false">IF($A31="","",IFERROR(INDEX(Equipment!$H$5:$H$500,MATCH($A31,Equipment!$S$5:$S$500,0))&amp;"",""))</f>
        <v/>
      </c>
      <c r="H31" s="0" t="str">
        <f aca="false">IF($A31="","",IFERROR(INDEX(Equipment!$J$5:$J$500,MATCH($A31,Equipment!$S$5:$S$500,0))&amp;"",""))</f>
        <v/>
      </c>
      <c r="I31" s="0" t="str">
        <f aca="false">IF($A31="","",IFERROR(INDEX(Equipment!$K$5:$K$500,MATCH($A31,Equipment!$S$5:$S$500,0))&amp;"",""))</f>
        <v/>
      </c>
      <c r="J31" s="0" t="str">
        <f aca="false">IF($A31="","",IFERROR(INDEX(Equipment!$L$5:$L$500,MATCH($A31,Equipment!$S$5:$S$500,0))&amp;"",""))</f>
        <v/>
      </c>
      <c r="K31" s="0" t="str">
        <f aca="false">IF($A31="","",IFERROR(INDEX(Equipment!$Q$5:$Q$500,MATCH($A31,Equipment!$S$5:$S$500,0))&amp;"",""))</f>
        <v/>
      </c>
    </row>
    <row r="32" customFormat="false" ht="15" hidden="false" customHeight="false" outlineLevel="0" collapsed="false">
      <c r="A32" s="0" t="str">
        <f aca="false">IF(24&gt;$C$6,"",24)</f>
        <v/>
      </c>
      <c r="B32" s="0" t="str">
        <f aca="false">IF($A32="","",IFERROR(INDEX(Equipment!$A$5:$A$500,MATCH($A32,Equipment!$S$5:$S$500,0))&amp;"",""))</f>
        <v/>
      </c>
      <c r="C32" s="0" t="str">
        <f aca="false">IF($A32="","",IFERROR(INDEX(Equipment!$B$5:$B$500,MATCH($A32,Equipment!$S$5:$S$500,0))&amp;"",""))</f>
        <v/>
      </c>
      <c r="D32" s="0" t="str">
        <f aca="false">IF($A32="","",IFERROR(INDEX(Equipment!$E$5:$E$500,MATCH($A32,Equipment!$S$5:$S$500,0))&amp;"",""))</f>
        <v/>
      </c>
      <c r="E32" s="0" t="str">
        <f aca="false">IF($A32="","",IFERROR(INDEX(Equipment!$F$5:$F$500,MATCH($A32,Equipment!$S$5:$S$500,0))&amp;"",""))</f>
        <v/>
      </c>
      <c r="F32" s="0" t="str">
        <f aca="false">IF($A32="","",IFERROR(INDEX(Equipment!$G$5:$G$500,MATCH($A32,Equipment!$S$5:$S$500,0))&amp;"",""))</f>
        <v/>
      </c>
      <c r="G32" s="0" t="str">
        <f aca="false">IF($A32="","",IFERROR(INDEX(Equipment!$H$5:$H$500,MATCH($A32,Equipment!$S$5:$S$500,0))&amp;"",""))</f>
        <v/>
      </c>
      <c r="H32" s="0" t="str">
        <f aca="false">IF($A32="","",IFERROR(INDEX(Equipment!$J$5:$J$500,MATCH($A32,Equipment!$S$5:$S$500,0))&amp;"",""))</f>
        <v/>
      </c>
      <c r="I32" s="0" t="str">
        <f aca="false">IF($A32="","",IFERROR(INDEX(Equipment!$K$5:$K$500,MATCH($A32,Equipment!$S$5:$S$500,0))&amp;"",""))</f>
        <v/>
      </c>
      <c r="J32" s="0" t="str">
        <f aca="false">IF($A32="","",IFERROR(INDEX(Equipment!$L$5:$L$500,MATCH($A32,Equipment!$S$5:$S$500,0))&amp;"",""))</f>
        <v/>
      </c>
      <c r="K32" s="0" t="str">
        <f aca="false">IF($A32="","",IFERROR(INDEX(Equipment!$Q$5:$Q$500,MATCH($A32,Equipment!$S$5:$S$500,0))&amp;"",""))</f>
        <v/>
      </c>
    </row>
    <row r="33" customFormat="false" ht="15" hidden="false" customHeight="false" outlineLevel="0" collapsed="false">
      <c r="A33" s="0" t="str">
        <f aca="false">IF(25&gt;$C$6,"",25)</f>
        <v/>
      </c>
      <c r="B33" s="0" t="str">
        <f aca="false">IF($A33="","",IFERROR(INDEX(Equipment!$A$5:$A$500,MATCH($A33,Equipment!$S$5:$S$500,0))&amp;"",""))</f>
        <v/>
      </c>
      <c r="C33" s="0" t="str">
        <f aca="false">IF($A33="","",IFERROR(INDEX(Equipment!$B$5:$B$500,MATCH($A33,Equipment!$S$5:$S$500,0))&amp;"",""))</f>
        <v/>
      </c>
      <c r="D33" s="0" t="str">
        <f aca="false">IF($A33="","",IFERROR(INDEX(Equipment!$E$5:$E$500,MATCH($A33,Equipment!$S$5:$S$500,0))&amp;"",""))</f>
        <v/>
      </c>
      <c r="E33" s="0" t="str">
        <f aca="false">IF($A33="","",IFERROR(INDEX(Equipment!$F$5:$F$500,MATCH($A33,Equipment!$S$5:$S$500,0))&amp;"",""))</f>
        <v/>
      </c>
      <c r="F33" s="0" t="str">
        <f aca="false">IF($A33="","",IFERROR(INDEX(Equipment!$G$5:$G$500,MATCH($A33,Equipment!$S$5:$S$500,0))&amp;"",""))</f>
        <v/>
      </c>
      <c r="G33" s="0" t="str">
        <f aca="false">IF($A33="","",IFERROR(INDEX(Equipment!$H$5:$H$500,MATCH($A33,Equipment!$S$5:$S$500,0))&amp;"",""))</f>
        <v/>
      </c>
      <c r="H33" s="0" t="str">
        <f aca="false">IF($A33="","",IFERROR(INDEX(Equipment!$J$5:$J$500,MATCH($A33,Equipment!$S$5:$S$500,0))&amp;"",""))</f>
        <v/>
      </c>
      <c r="I33" s="0" t="str">
        <f aca="false">IF($A33="","",IFERROR(INDEX(Equipment!$K$5:$K$500,MATCH($A33,Equipment!$S$5:$S$500,0))&amp;"",""))</f>
        <v/>
      </c>
      <c r="J33" s="0" t="str">
        <f aca="false">IF($A33="","",IFERROR(INDEX(Equipment!$L$5:$L$500,MATCH($A33,Equipment!$S$5:$S$500,0))&amp;"",""))</f>
        <v/>
      </c>
      <c r="K33" s="0" t="str">
        <f aca="false">IF($A33="","",IFERROR(INDEX(Equipment!$Q$5:$Q$500,MATCH($A33,Equipment!$S$5:$S$500,0))&amp;"",""))</f>
        <v/>
      </c>
    </row>
    <row r="34" customFormat="false" ht="15" hidden="false" customHeight="false" outlineLevel="0" collapsed="false">
      <c r="A34" s="0" t="str">
        <f aca="false">IF(26&gt;$C$6,"",26)</f>
        <v/>
      </c>
      <c r="B34" s="0" t="str">
        <f aca="false">IF($A34="","",IFERROR(INDEX(Equipment!$A$5:$A$500,MATCH($A34,Equipment!$S$5:$S$500,0))&amp;"",""))</f>
        <v/>
      </c>
      <c r="C34" s="0" t="str">
        <f aca="false">IF($A34="","",IFERROR(INDEX(Equipment!$B$5:$B$500,MATCH($A34,Equipment!$S$5:$S$500,0))&amp;"",""))</f>
        <v/>
      </c>
      <c r="D34" s="0" t="str">
        <f aca="false">IF($A34="","",IFERROR(INDEX(Equipment!$E$5:$E$500,MATCH($A34,Equipment!$S$5:$S$500,0))&amp;"",""))</f>
        <v/>
      </c>
      <c r="E34" s="0" t="str">
        <f aca="false">IF($A34="","",IFERROR(INDEX(Equipment!$F$5:$F$500,MATCH($A34,Equipment!$S$5:$S$500,0))&amp;"",""))</f>
        <v/>
      </c>
      <c r="F34" s="0" t="str">
        <f aca="false">IF($A34="","",IFERROR(INDEX(Equipment!$G$5:$G$500,MATCH($A34,Equipment!$S$5:$S$500,0))&amp;"",""))</f>
        <v/>
      </c>
      <c r="G34" s="0" t="str">
        <f aca="false">IF($A34="","",IFERROR(INDEX(Equipment!$H$5:$H$500,MATCH($A34,Equipment!$S$5:$S$500,0))&amp;"",""))</f>
        <v/>
      </c>
      <c r="H34" s="0" t="str">
        <f aca="false">IF($A34="","",IFERROR(INDEX(Equipment!$J$5:$J$500,MATCH($A34,Equipment!$S$5:$S$500,0))&amp;"",""))</f>
        <v/>
      </c>
      <c r="I34" s="0" t="str">
        <f aca="false">IF($A34="","",IFERROR(INDEX(Equipment!$K$5:$K$500,MATCH($A34,Equipment!$S$5:$S$500,0))&amp;"",""))</f>
        <v/>
      </c>
      <c r="J34" s="0" t="str">
        <f aca="false">IF($A34="","",IFERROR(INDEX(Equipment!$L$5:$L$500,MATCH($A34,Equipment!$S$5:$S$500,0))&amp;"",""))</f>
        <v/>
      </c>
      <c r="K34" s="0" t="str">
        <f aca="false">IF($A34="","",IFERROR(INDEX(Equipment!$Q$5:$Q$500,MATCH($A34,Equipment!$S$5:$S$500,0))&amp;"",""))</f>
        <v/>
      </c>
    </row>
    <row r="35" customFormat="false" ht="15" hidden="false" customHeight="false" outlineLevel="0" collapsed="false">
      <c r="A35" s="0" t="str">
        <f aca="false">IF(27&gt;$C$6,"",27)</f>
        <v/>
      </c>
      <c r="B35" s="0" t="str">
        <f aca="false">IF($A35="","",IFERROR(INDEX(Equipment!$A$5:$A$500,MATCH($A35,Equipment!$S$5:$S$500,0))&amp;"",""))</f>
        <v/>
      </c>
      <c r="C35" s="0" t="str">
        <f aca="false">IF($A35="","",IFERROR(INDEX(Equipment!$B$5:$B$500,MATCH($A35,Equipment!$S$5:$S$500,0))&amp;"",""))</f>
        <v/>
      </c>
      <c r="D35" s="0" t="str">
        <f aca="false">IF($A35="","",IFERROR(INDEX(Equipment!$E$5:$E$500,MATCH($A35,Equipment!$S$5:$S$500,0))&amp;"",""))</f>
        <v/>
      </c>
      <c r="E35" s="0" t="str">
        <f aca="false">IF($A35="","",IFERROR(INDEX(Equipment!$F$5:$F$500,MATCH($A35,Equipment!$S$5:$S$500,0))&amp;"",""))</f>
        <v/>
      </c>
      <c r="F35" s="0" t="str">
        <f aca="false">IF($A35="","",IFERROR(INDEX(Equipment!$G$5:$G$500,MATCH($A35,Equipment!$S$5:$S$500,0))&amp;"",""))</f>
        <v/>
      </c>
      <c r="G35" s="0" t="str">
        <f aca="false">IF($A35="","",IFERROR(INDEX(Equipment!$H$5:$H$500,MATCH($A35,Equipment!$S$5:$S$500,0))&amp;"",""))</f>
        <v/>
      </c>
      <c r="H35" s="0" t="str">
        <f aca="false">IF($A35="","",IFERROR(INDEX(Equipment!$J$5:$J$500,MATCH($A35,Equipment!$S$5:$S$500,0))&amp;"",""))</f>
        <v/>
      </c>
      <c r="I35" s="0" t="str">
        <f aca="false">IF($A35="","",IFERROR(INDEX(Equipment!$K$5:$K$500,MATCH($A35,Equipment!$S$5:$S$500,0))&amp;"",""))</f>
        <v/>
      </c>
      <c r="J35" s="0" t="str">
        <f aca="false">IF($A35="","",IFERROR(INDEX(Equipment!$L$5:$L$500,MATCH($A35,Equipment!$S$5:$S$500,0))&amp;"",""))</f>
        <v/>
      </c>
      <c r="K35" s="0" t="str">
        <f aca="false">IF($A35="","",IFERROR(INDEX(Equipment!$Q$5:$Q$500,MATCH($A35,Equipment!$S$5:$S$500,0))&amp;"",""))</f>
        <v/>
      </c>
    </row>
    <row r="36" customFormat="false" ht="15" hidden="false" customHeight="false" outlineLevel="0" collapsed="false">
      <c r="A36" s="0" t="str">
        <f aca="false">IF(28&gt;$C$6,"",28)</f>
        <v/>
      </c>
      <c r="B36" s="0" t="str">
        <f aca="false">IF($A36="","",IFERROR(INDEX(Equipment!$A$5:$A$500,MATCH($A36,Equipment!$S$5:$S$500,0))&amp;"",""))</f>
        <v/>
      </c>
      <c r="C36" s="0" t="str">
        <f aca="false">IF($A36="","",IFERROR(INDEX(Equipment!$B$5:$B$500,MATCH($A36,Equipment!$S$5:$S$500,0))&amp;"",""))</f>
        <v/>
      </c>
      <c r="D36" s="0" t="str">
        <f aca="false">IF($A36="","",IFERROR(INDEX(Equipment!$E$5:$E$500,MATCH($A36,Equipment!$S$5:$S$500,0))&amp;"",""))</f>
        <v/>
      </c>
      <c r="E36" s="0" t="str">
        <f aca="false">IF($A36="","",IFERROR(INDEX(Equipment!$F$5:$F$500,MATCH($A36,Equipment!$S$5:$S$500,0))&amp;"",""))</f>
        <v/>
      </c>
      <c r="F36" s="0" t="str">
        <f aca="false">IF($A36="","",IFERROR(INDEX(Equipment!$G$5:$G$500,MATCH($A36,Equipment!$S$5:$S$500,0))&amp;"",""))</f>
        <v/>
      </c>
      <c r="G36" s="0" t="str">
        <f aca="false">IF($A36="","",IFERROR(INDEX(Equipment!$H$5:$H$500,MATCH($A36,Equipment!$S$5:$S$500,0))&amp;"",""))</f>
        <v/>
      </c>
      <c r="H36" s="0" t="str">
        <f aca="false">IF($A36="","",IFERROR(INDEX(Equipment!$J$5:$J$500,MATCH($A36,Equipment!$S$5:$S$500,0))&amp;"",""))</f>
        <v/>
      </c>
      <c r="I36" s="0" t="str">
        <f aca="false">IF($A36="","",IFERROR(INDEX(Equipment!$K$5:$K$500,MATCH($A36,Equipment!$S$5:$S$500,0))&amp;"",""))</f>
        <v/>
      </c>
      <c r="J36" s="0" t="str">
        <f aca="false">IF($A36="","",IFERROR(INDEX(Equipment!$L$5:$L$500,MATCH($A36,Equipment!$S$5:$S$500,0))&amp;"",""))</f>
        <v/>
      </c>
      <c r="K36" s="0" t="str">
        <f aca="false">IF($A36="","",IFERROR(INDEX(Equipment!$Q$5:$Q$500,MATCH($A36,Equipment!$S$5:$S$500,0))&amp;"",""))</f>
        <v/>
      </c>
    </row>
    <row r="37" customFormat="false" ht="15" hidden="false" customHeight="false" outlineLevel="0" collapsed="false">
      <c r="A37" s="0" t="str">
        <f aca="false">IF(29&gt;$C$6,"",29)</f>
        <v/>
      </c>
      <c r="B37" s="0" t="str">
        <f aca="false">IF($A37="","",IFERROR(INDEX(Equipment!$A$5:$A$500,MATCH($A37,Equipment!$S$5:$S$500,0))&amp;"",""))</f>
        <v/>
      </c>
      <c r="C37" s="0" t="str">
        <f aca="false">IF($A37="","",IFERROR(INDEX(Equipment!$B$5:$B$500,MATCH($A37,Equipment!$S$5:$S$500,0))&amp;"",""))</f>
        <v/>
      </c>
      <c r="D37" s="0" t="str">
        <f aca="false">IF($A37="","",IFERROR(INDEX(Equipment!$E$5:$E$500,MATCH($A37,Equipment!$S$5:$S$500,0))&amp;"",""))</f>
        <v/>
      </c>
      <c r="E37" s="0" t="str">
        <f aca="false">IF($A37="","",IFERROR(INDEX(Equipment!$F$5:$F$500,MATCH($A37,Equipment!$S$5:$S$500,0))&amp;"",""))</f>
        <v/>
      </c>
      <c r="F37" s="0" t="str">
        <f aca="false">IF($A37="","",IFERROR(INDEX(Equipment!$G$5:$G$500,MATCH($A37,Equipment!$S$5:$S$500,0))&amp;"",""))</f>
        <v/>
      </c>
      <c r="G37" s="0" t="str">
        <f aca="false">IF($A37="","",IFERROR(INDEX(Equipment!$H$5:$H$500,MATCH($A37,Equipment!$S$5:$S$500,0))&amp;"",""))</f>
        <v/>
      </c>
      <c r="H37" s="0" t="str">
        <f aca="false">IF($A37="","",IFERROR(INDEX(Equipment!$J$5:$J$500,MATCH($A37,Equipment!$S$5:$S$500,0))&amp;"",""))</f>
        <v/>
      </c>
      <c r="I37" s="0" t="str">
        <f aca="false">IF($A37="","",IFERROR(INDEX(Equipment!$K$5:$K$500,MATCH($A37,Equipment!$S$5:$S$500,0))&amp;"",""))</f>
        <v/>
      </c>
      <c r="J37" s="0" t="str">
        <f aca="false">IF($A37="","",IFERROR(INDEX(Equipment!$L$5:$L$500,MATCH($A37,Equipment!$S$5:$S$500,0))&amp;"",""))</f>
        <v/>
      </c>
      <c r="K37" s="0" t="str">
        <f aca="false">IF($A37="","",IFERROR(INDEX(Equipment!$Q$5:$Q$500,MATCH($A37,Equipment!$S$5:$S$500,0))&amp;"",""))</f>
        <v/>
      </c>
    </row>
    <row r="38" customFormat="false" ht="15" hidden="false" customHeight="false" outlineLevel="0" collapsed="false">
      <c r="A38" s="0" t="str">
        <f aca="false">IF(30&gt;$C$6,"",30)</f>
        <v/>
      </c>
      <c r="B38" s="0" t="str">
        <f aca="false">IF($A38="","",IFERROR(INDEX(Equipment!$A$5:$A$500,MATCH($A38,Equipment!$S$5:$S$500,0))&amp;"",""))</f>
        <v/>
      </c>
      <c r="C38" s="0" t="str">
        <f aca="false">IF($A38="","",IFERROR(INDEX(Equipment!$B$5:$B$500,MATCH($A38,Equipment!$S$5:$S$500,0))&amp;"",""))</f>
        <v/>
      </c>
      <c r="D38" s="0" t="str">
        <f aca="false">IF($A38="","",IFERROR(INDEX(Equipment!$E$5:$E$500,MATCH($A38,Equipment!$S$5:$S$500,0))&amp;"",""))</f>
        <v/>
      </c>
      <c r="E38" s="0" t="str">
        <f aca="false">IF($A38="","",IFERROR(INDEX(Equipment!$F$5:$F$500,MATCH($A38,Equipment!$S$5:$S$500,0))&amp;"",""))</f>
        <v/>
      </c>
      <c r="F38" s="0" t="str">
        <f aca="false">IF($A38="","",IFERROR(INDEX(Equipment!$G$5:$G$500,MATCH($A38,Equipment!$S$5:$S$500,0))&amp;"",""))</f>
        <v/>
      </c>
      <c r="G38" s="0" t="str">
        <f aca="false">IF($A38="","",IFERROR(INDEX(Equipment!$H$5:$H$500,MATCH($A38,Equipment!$S$5:$S$500,0))&amp;"",""))</f>
        <v/>
      </c>
      <c r="H38" s="0" t="str">
        <f aca="false">IF($A38="","",IFERROR(INDEX(Equipment!$J$5:$J$500,MATCH($A38,Equipment!$S$5:$S$500,0))&amp;"",""))</f>
        <v/>
      </c>
      <c r="I38" s="0" t="str">
        <f aca="false">IF($A38="","",IFERROR(INDEX(Equipment!$K$5:$K$500,MATCH($A38,Equipment!$S$5:$S$500,0))&amp;"",""))</f>
        <v/>
      </c>
      <c r="J38" s="0" t="str">
        <f aca="false">IF($A38="","",IFERROR(INDEX(Equipment!$L$5:$L$500,MATCH($A38,Equipment!$S$5:$S$500,0))&amp;"",""))</f>
        <v/>
      </c>
      <c r="K38" s="0" t="str">
        <f aca="false">IF($A38="","",IFERROR(INDEX(Equipment!$Q$5:$Q$500,MATCH($A38,Equipment!$S$5:$S$500,0))&amp;"",""))</f>
        <v/>
      </c>
    </row>
    <row r="39" customFormat="false" ht="15" hidden="false" customHeight="false" outlineLevel="0" collapsed="false">
      <c r="A39" s="0" t="str">
        <f aca="false">IF(31&gt;$C$6,"",31)</f>
        <v/>
      </c>
      <c r="B39" s="0" t="str">
        <f aca="false">IF($A39="","",IFERROR(INDEX(Equipment!$A$5:$A$500,MATCH($A39,Equipment!$S$5:$S$500,0))&amp;"",""))</f>
        <v/>
      </c>
      <c r="C39" s="0" t="str">
        <f aca="false">IF($A39="","",IFERROR(INDEX(Equipment!$B$5:$B$500,MATCH($A39,Equipment!$S$5:$S$500,0))&amp;"",""))</f>
        <v/>
      </c>
      <c r="D39" s="0" t="str">
        <f aca="false">IF($A39="","",IFERROR(INDEX(Equipment!$E$5:$E$500,MATCH($A39,Equipment!$S$5:$S$500,0))&amp;"",""))</f>
        <v/>
      </c>
      <c r="E39" s="0" t="str">
        <f aca="false">IF($A39="","",IFERROR(INDEX(Equipment!$F$5:$F$500,MATCH($A39,Equipment!$S$5:$S$500,0))&amp;"",""))</f>
        <v/>
      </c>
      <c r="F39" s="0" t="str">
        <f aca="false">IF($A39="","",IFERROR(INDEX(Equipment!$G$5:$G$500,MATCH($A39,Equipment!$S$5:$S$500,0))&amp;"",""))</f>
        <v/>
      </c>
      <c r="G39" s="0" t="str">
        <f aca="false">IF($A39="","",IFERROR(INDEX(Equipment!$H$5:$H$500,MATCH($A39,Equipment!$S$5:$S$500,0))&amp;"",""))</f>
        <v/>
      </c>
      <c r="H39" s="0" t="str">
        <f aca="false">IF($A39="","",IFERROR(INDEX(Equipment!$J$5:$J$500,MATCH($A39,Equipment!$S$5:$S$500,0))&amp;"",""))</f>
        <v/>
      </c>
      <c r="I39" s="0" t="str">
        <f aca="false">IF($A39="","",IFERROR(INDEX(Equipment!$K$5:$K$500,MATCH($A39,Equipment!$S$5:$S$500,0))&amp;"",""))</f>
        <v/>
      </c>
      <c r="J39" s="0" t="str">
        <f aca="false">IF($A39="","",IFERROR(INDEX(Equipment!$L$5:$L$500,MATCH($A39,Equipment!$S$5:$S$500,0))&amp;"",""))</f>
        <v/>
      </c>
      <c r="K39" s="0" t="str">
        <f aca="false">IF($A39="","",IFERROR(INDEX(Equipment!$Q$5:$Q$500,MATCH($A39,Equipment!$S$5:$S$500,0))&amp;"",""))</f>
        <v/>
      </c>
    </row>
    <row r="40" customFormat="false" ht="15" hidden="false" customHeight="false" outlineLevel="0" collapsed="false">
      <c r="A40" s="0" t="str">
        <f aca="false">IF(32&gt;$C$6,"",32)</f>
        <v/>
      </c>
      <c r="B40" s="0" t="str">
        <f aca="false">IF($A40="","",IFERROR(INDEX(Equipment!$A$5:$A$500,MATCH($A40,Equipment!$S$5:$S$500,0))&amp;"",""))</f>
        <v/>
      </c>
      <c r="C40" s="0" t="str">
        <f aca="false">IF($A40="","",IFERROR(INDEX(Equipment!$B$5:$B$500,MATCH($A40,Equipment!$S$5:$S$500,0))&amp;"",""))</f>
        <v/>
      </c>
      <c r="D40" s="0" t="str">
        <f aca="false">IF($A40="","",IFERROR(INDEX(Equipment!$E$5:$E$500,MATCH($A40,Equipment!$S$5:$S$500,0))&amp;"",""))</f>
        <v/>
      </c>
      <c r="E40" s="0" t="str">
        <f aca="false">IF($A40="","",IFERROR(INDEX(Equipment!$F$5:$F$500,MATCH($A40,Equipment!$S$5:$S$500,0))&amp;"",""))</f>
        <v/>
      </c>
      <c r="F40" s="0" t="str">
        <f aca="false">IF($A40="","",IFERROR(INDEX(Equipment!$G$5:$G$500,MATCH($A40,Equipment!$S$5:$S$500,0))&amp;"",""))</f>
        <v/>
      </c>
      <c r="G40" s="0" t="str">
        <f aca="false">IF($A40="","",IFERROR(INDEX(Equipment!$H$5:$H$500,MATCH($A40,Equipment!$S$5:$S$500,0))&amp;"",""))</f>
        <v/>
      </c>
      <c r="H40" s="0" t="str">
        <f aca="false">IF($A40="","",IFERROR(INDEX(Equipment!$J$5:$J$500,MATCH($A40,Equipment!$S$5:$S$500,0))&amp;"",""))</f>
        <v/>
      </c>
      <c r="I40" s="0" t="str">
        <f aca="false">IF($A40="","",IFERROR(INDEX(Equipment!$K$5:$K$500,MATCH($A40,Equipment!$S$5:$S$500,0))&amp;"",""))</f>
        <v/>
      </c>
      <c r="J40" s="0" t="str">
        <f aca="false">IF($A40="","",IFERROR(INDEX(Equipment!$L$5:$L$500,MATCH($A40,Equipment!$S$5:$S$500,0))&amp;"",""))</f>
        <v/>
      </c>
      <c r="K40" s="0" t="str">
        <f aca="false">IF($A40="","",IFERROR(INDEX(Equipment!$Q$5:$Q$500,MATCH($A40,Equipment!$S$5:$S$500,0))&amp;"",""))</f>
        <v/>
      </c>
    </row>
    <row r="41" customFormat="false" ht="15" hidden="false" customHeight="false" outlineLevel="0" collapsed="false">
      <c r="A41" s="0" t="str">
        <f aca="false">IF(33&gt;$C$6,"",33)</f>
        <v/>
      </c>
      <c r="B41" s="0" t="str">
        <f aca="false">IF($A41="","",IFERROR(INDEX(Equipment!$A$5:$A$500,MATCH($A41,Equipment!$S$5:$S$500,0))&amp;"",""))</f>
        <v/>
      </c>
      <c r="C41" s="0" t="str">
        <f aca="false">IF($A41="","",IFERROR(INDEX(Equipment!$B$5:$B$500,MATCH($A41,Equipment!$S$5:$S$500,0))&amp;"",""))</f>
        <v/>
      </c>
      <c r="D41" s="0" t="str">
        <f aca="false">IF($A41="","",IFERROR(INDEX(Equipment!$E$5:$E$500,MATCH($A41,Equipment!$S$5:$S$500,0))&amp;"",""))</f>
        <v/>
      </c>
      <c r="E41" s="0" t="str">
        <f aca="false">IF($A41="","",IFERROR(INDEX(Equipment!$F$5:$F$500,MATCH($A41,Equipment!$S$5:$S$500,0))&amp;"",""))</f>
        <v/>
      </c>
      <c r="F41" s="0" t="str">
        <f aca="false">IF($A41="","",IFERROR(INDEX(Equipment!$G$5:$G$500,MATCH($A41,Equipment!$S$5:$S$500,0))&amp;"",""))</f>
        <v/>
      </c>
      <c r="G41" s="0" t="str">
        <f aca="false">IF($A41="","",IFERROR(INDEX(Equipment!$H$5:$H$500,MATCH($A41,Equipment!$S$5:$S$500,0))&amp;"",""))</f>
        <v/>
      </c>
      <c r="H41" s="0" t="str">
        <f aca="false">IF($A41="","",IFERROR(INDEX(Equipment!$J$5:$J$500,MATCH($A41,Equipment!$S$5:$S$500,0))&amp;"",""))</f>
        <v/>
      </c>
      <c r="I41" s="0" t="str">
        <f aca="false">IF($A41="","",IFERROR(INDEX(Equipment!$K$5:$K$500,MATCH($A41,Equipment!$S$5:$S$500,0))&amp;"",""))</f>
        <v/>
      </c>
      <c r="J41" s="0" t="str">
        <f aca="false">IF($A41="","",IFERROR(INDEX(Equipment!$L$5:$L$500,MATCH($A41,Equipment!$S$5:$S$500,0))&amp;"",""))</f>
        <v/>
      </c>
      <c r="K41" s="0" t="str">
        <f aca="false">IF($A41="","",IFERROR(INDEX(Equipment!$Q$5:$Q$500,MATCH($A41,Equipment!$S$5:$S$500,0))&amp;"",""))</f>
        <v/>
      </c>
    </row>
    <row r="42" customFormat="false" ht="15" hidden="false" customHeight="false" outlineLevel="0" collapsed="false">
      <c r="A42" s="0" t="str">
        <f aca="false">IF(34&gt;$C$6,"",34)</f>
        <v/>
      </c>
      <c r="B42" s="0" t="str">
        <f aca="false">IF($A42="","",IFERROR(INDEX(Equipment!$A$5:$A$500,MATCH($A42,Equipment!$S$5:$S$500,0))&amp;"",""))</f>
        <v/>
      </c>
      <c r="C42" s="0" t="str">
        <f aca="false">IF($A42="","",IFERROR(INDEX(Equipment!$B$5:$B$500,MATCH($A42,Equipment!$S$5:$S$500,0))&amp;"",""))</f>
        <v/>
      </c>
      <c r="D42" s="0" t="str">
        <f aca="false">IF($A42="","",IFERROR(INDEX(Equipment!$E$5:$E$500,MATCH($A42,Equipment!$S$5:$S$500,0))&amp;"",""))</f>
        <v/>
      </c>
      <c r="E42" s="0" t="str">
        <f aca="false">IF($A42="","",IFERROR(INDEX(Equipment!$F$5:$F$500,MATCH($A42,Equipment!$S$5:$S$500,0))&amp;"",""))</f>
        <v/>
      </c>
      <c r="F42" s="0" t="str">
        <f aca="false">IF($A42="","",IFERROR(INDEX(Equipment!$G$5:$G$500,MATCH($A42,Equipment!$S$5:$S$500,0))&amp;"",""))</f>
        <v/>
      </c>
      <c r="G42" s="0" t="str">
        <f aca="false">IF($A42="","",IFERROR(INDEX(Equipment!$H$5:$H$500,MATCH($A42,Equipment!$S$5:$S$500,0))&amp;"",""))</f>
        <v/>
      </c>
      <c r="H42" s="0" t="str">
        <f aca="false">IF($A42="","",IFERROR(INDEX(Equipment!$J$5:$J$500,MATCH($A42,Equipment!$S$5:$S$500,0))&amp;"",""))</f>
        <v/>
      </c>
      <c r="I42" s="0" t="str">
        <f aca="false">IF($A42="","",IFERROR(INDEX(Equipment!$K$5:$K$500,MATCH($A42,Equipment!$S$5:$S$500,0))&amp;"",""))</f>
        <v/>
      </c>
      <c r="J42" s="0" t="str">
        <f aca="false">IF($A42="","",IFERROR(INDEX(Equipment!$L$5:$L$500,MATCH($A42,Equipment!$S$5:$S$500,0))&amp;"",""))</f>
        <v/>
      </c>
      <c r="K42" s="0" t="str">
        <f aca="false">IF($A42="","",IFERROR(INDEX(Equipment!$Q$5:$Q$500,MATCH($A42,Equipment!$S$5:$S$500,0))&amp;"",""))</f>
        <v/>
      </c>
    </row>
    <row r="43" customFormat="false" ht="15" hidden="false" customHeight="false" outlineLevel="0" collapsed="false">
      <c r="A43" s="0" t="str">
        <f aca="false">IF(35&gt;$C$6,"",35)</f>
        <v/>
      </c>
      <c r="B43" s="0" t="str">
        <f aca="false">IF($A43="","",IFERROR(INDEX(Equipment!$A$5:$A$500,MATCH($A43,Equipment!$S$5:$S$500,0))&amp;"",""))</f>
        <v/>
      </c>
      <c r="C43" s="0" t="str">
        <f aca="false">IF($A43="","",IFERROR(INDEX(Equipment!$B$5:$B$500,MATCH($A43,Equipment!$S$5:$S$500,0))&amp;"",""))</f>
        <v/>
      </c>
      <c r="D43" s="0" t="str">
        <f aca="false">IF($A43="","",IFERROR(INDEX(Equipment!$E$5:$E$500,MATCH($A43,Equipment!$S$5:$S$500,0))&amp;"",""))</f>
        <v/>
      </c>
      <c r="E43" s="0" t="str">
        <f aca="false">IF($A43="","",IFERROR(INDEX(Equipment!$F$5:$F$500,MATCH($A43,Equipment!$S$5:$S$500,0))&amp;"",""))</f>
        <v/>
      </c>
      <c r="F43" s="0" t="str">
        <f aca="false">IF($A43="","",IFERROR(INDEX(Equipment!$G$5:$G$500,MATCH($A43,Equipment!$S$5:$S$500,0))&amp;"",""))</f>
        <v/>
      </c>
      <c r="G43" s="0" t="str">
        <f aca="false">IF($A43="","",IFERROR(INDEX(Equipment!$H$5:$H$500,MATCH($A43,Equipment!$S$5:$S$500,0))&amp;"",""))</f>
        <v/>
      </c>
      <c r="H43" s="0" t="str">
        <f aca="false">IF($A43="","",IFERROR(INDEX(Equipment!$J$5:$J$500,MATCH($A43,Equipment!$S$5:$S$500,0))&amp;"",""))</f>
        <v/>
      </c>
      <c r="I43" s="0" t="str">
        <f aca="false">IF($A43="","",IFERROR(INDEX(Equipment!$K$5:$K$500,MATCH($A43,Equipment!$S$5:$S$500,0))&amp;"",""))</f>
        <v/>
      </c>
      <c r="J43" s="0" t="str">
        <f aca="false">IF($A43="","",IFERROR(INDEX(Equipment!$L$5:$L$500,MATCH($A43,Equipment!$S$5:$S$500,0))&amp;"",""))</f>
        <v/>
      </c>
      <c r="K43" s="0" t="str">
        <f aca="false">IF($A43="","",IFERROR(INDEX(Equipment!$Q$5:$Q$500,MATCH($A43,Equipment!$S$5:$S$500,0))&amp;"",""))</f>
        <v/>
      </c>
    </row>
    <row r="44" customFormat="false" ht="15" hidden="false" customHeight="false" outlineLevel="0" collapsed="false">
      <c r="A44" s="0" t="str">
        <f aca="false">IF(36&gt;$C$6,"",36)</f>
        <v/>
      </c>
      <c r="B44" s="0" t="str">
        <f aca="false">IF($A44="","",IFERROR(INDEX(Equipment!$A$5:$A$500,MATCH($A44,Equipment!$S$5:$S$500,0))&amp;"",""))</f>
        <v/>
      </c>
      <c r="C44" s="0" t="str">
        <f aca="false">IF($A44="","",IFERROR(INDEX(Equipment!$B$5:$B$500,MATCH($A44,Equipment!$S$5:$S$500,0))&amp;"",""))</f>
        <v/>
      </c>
      <c r="D44" s="0" t="str">
        <f aca="false">IF($A44="","",IFERROR(INDEX(Equipment!$E$5:$E$500,MATCH($A44,Equipment!$S$5:$S$500,0))&amp;"",""))</f>
        <v/>
      </c>
      <c r="E44" s="0" t="str">
        <f aca="false">IF($A44="","",IFERROR(INDEX(Equipment!$F$5:$F$500,MATCH($A44,Equipment!$S$5:$S$500,0))&amp;"",""))</f>
        <v/>
      </c>
      <c r="F44" s="0" t="str">
        <f aca="false">IF($A44="","",IFERROR(INDEX(Equipment!$G$5:$G$500,MATCH($A44,Equipment!$S$5:$S$500,0))&amp;"",""))</f>
        <v/>
      </c>
      <c r="G44" s="0" t="str">
        <f aca="false">IF($A44="","",IFERROR(INDEX(Equipment!$H$5:$H$500,MATCH($A44,Equipment!$S$5:$S$500,0))&amp;"",""))</f>
        <v/>
      </c>
      <c r="H44" s="0" t="str">
        <f aca="false">IF($A44="","",IFERROR(INDEX(Equipment!$J$5:$J$500,MATCH($A44,Equipment!$S$5:$S$500,0))&amp;"",""))</f>
        <v/>
      </c>
      <c r="I44" s="0" t="str">
        <f aca="false">IF($A44="","",IFERROR(INDEX(Equipment!$K$5:$K$500,MATCH($A44,Equipment!$S$5:$S$500,0))&amp;"",""))</f>
        <v/>
      </c>
      <c r="J44" s="0" t="str">
        <f aca="false">IF($A44="","",IFERROR(INDEX(Equipment!$L$5:$L$500,MATCH($A44,Equipment!$S$5:$S$500,0))&amp;"",""))</f>
        <v/>
      </c>
      <c r="K44" s="0" t="str">
        <f aca="false">IF($A44="","",IFERROR(INDEX(Equipment!$Q$5:$Q$500,MATCH($A44,Equipment!$S$5:$S$500,0))&amp;"",""))</f>
        <v/>
      </c>
    </row>
    <row r="45" customFormat="false" ht="15" hidden="false" customHeight="false" outlineLevel="0" collapsed="false">
      <c r="A45" s="0" t="str">
        <f aca="false">IF(37&gt;$C$6,"",37)</f>
        <v/>
      </c>
      <c r="B45" s="0" t="str">
        <f aca="false">IF($A45="","",IFERROR(INDEX(Equipment!$A$5:$A$500,MATCH($A45,Equipment!$S$5:$S$500,0))&amp;"",""))</f>
        <v/>
      </c>
      <c r="C45" s="0" t="str">
        <f aca="false">IF($A45="","",IFERROR(INDEX(Equipment!$B$5:$B$500,MATCH($A45,Equipment!$S$5:$S$500,0))&amp;"",""))</f>
        <v/>
      </c>
      <c r="D45" s="0" t="str">
        <f aca="false">IF($A45="","",IFERROR(INDEX(Equipment!$E$5:$E$500,MATCH($A45,Equipment!$S$5:$S$500,0))&amp;"",""))</f>
        <v/>
      </c>
      <c r="E45" s="0" t="str">
        <f aca="false">IF($A45="","",IFERROR(INDEX(Equipment!$F$5:$F$500,MATCH($A45,Equipment!$S$5:$S$500,0))&amp;"",""))</f>
        <v/>
      </c>
      <c r="F45" s="0" t="str">
        <f aca="false">IF($A45="","",IFERROR(INDEX(Equipment!$G$5:$G$500,MATCH($A45,Equipment!$S$5:$S$500,0))&amp;"",""))</f>
        <v/>
      </c>
      <c r="G45" s="0" t="str">
        <f aca="false">IF($A45="","",IFERROR(INDEX(Equipment!$H$5:$H$500,MATCH($A45,Equipment!$S$5:$S$500,0))&amp;"",""))</f>
        <v/>
      </c>
      <c r="H45" s="0" t="str">
        <f aca="false">IF($A45="","",IFERROR(INDEX(Equipment!$J$5:$J$500,MATCH($A45,Equipment!$S$5:$S$500,0))&amp;"",""))</f>
        <v/>
      </c>
      <c r="I45" s="0" t="str">
        <f aca="false">IF($A45="","",IFERROR(INDEX(Equipment!$K$5:$K$500,MATCH($A45,Equipment!$S$5:$S$500,0))&amp;"",""))</f>
        <v/>
      </c>
      <c r="J45" s="0" t="str">
        <f aca="false">IF($A45="","",IFERROR(INDEX(Equipment!$L$5:$L$500,MATCH($A45,Equipment!$S$5:$S$500,0))&amp;"",""))</f>
        <v/>
      </c>
      <c r="K45" s="0" t="str">
        <f aca="false">IF($A45="","",IFERROR(INDEX(Equipment!$Q$5:$Q$500,MATCH($A45,Equipment!$S$5:$S$500,0))&amp;"",""))</f>
        <v/>
      </c>
    </row>
    <row r="46" customFormat="false" ht="15" hidden="false" customHeight="false" outlineLevel="0" collapsed="false">
      <c r="A46" s="0" t="str">
        <f aca="false">IF(38&gt;$C$6,"",38)</f>
        <v/>
      </c>
      <c r="B46" s="0" t="str">
        <f aca="false">IF($A46="","",IFERROR(INDEX(Equipment!$A$5:$A$500,MATCH($A46,Equipment!$S$5:$S$500,0))&amp;"",""))</f>
        <v/>
      </c>
      <c r="C46" s="0" t="str">
        <f aca="false">IF($A46="","",IFERROR(INDEX(Equipment!$B$5:$B$500,MATCH($A46,Equipment!$S$5:$S$500,0))&amp;"",""))</f>
        <v/>
      </c>
      <c r="D46" s="0" t="str">
        <f aca="false">IF($A46="","",IFERROR(INDEX(Equipment!$E$5:$E$500,MATCH($A46,Equipment!$S$5:$S$500,0))&amp;"",""))</f>
        <v/>
      </c>
      <c r="E46" s="0" t="str">
        <f aca="false">IF($A46="","",IFERROR(INDEX(Equipment!$F$5:$F$500,MATCH($A46,Equipment!$S$5:$S$500,0))&amp;"",""))</f>
        <v/>
      </c>
      <c r="F46" s="0" t="str">
        <f aca="false">IF($A46="","",IFERROR(INDEX(Equipment!$G$5:$G$500,MATCH($A46,Equipment!$S$5:$S$500,0))&amp;"",""))</f>
        <v/>
      </c>
      <c r="G46" s="0" t="str">
        <f aca="false">IF($A46="","",IFERROR(INDEX(Equipment!$H$5:$H$500,MATCH($A46,Equipment!$S$5:$S$500,0))&amp;"",""))</f>
        <v/>
      </c>
      <c r="H46" s="0" t="str">
        <f aca="false">IF($A46="","",IFERROR(INDEX(Equipment!$J$5:$J$500,MATCH($A46,Equipment!$S$5:$S$500,0))&amp;"",""))</f>
        <v/>
      </c>
      <c r="I46" s="0" t="str">
        <f aca="false">IF($A46="","",IFERROR(INDEX(Equipment!$K$5:$K$500,MATCH($A46,Equipment!$S$5:$S$500,0))&amp;"",""))</f>
        <v/>
      </c>
      <c r="J46" s="0" t="str">
        <f aca="false">IF($A46="","",IFERROR(INDEX(Equipment!$L$5:$L$500,MATCH($A46,Equipment!$S$5:$S$500,0))&amp;"",""))</f>
        <v/>
      </c>
      <c r="K46" s="0" t="str">
        <f aca="false">IF($A46="","",IFERROR(INDEX(Equipment!$Q$5:$Q$500,MATCH($A46,Equipment!$S$5:$S$500,0))&amp;"",""))</f>
        <v/>
      </c>
    </row>
    <row r="47" customFormat="false" ht="15" hidden="false" customHeight="false" outlineLevel="0" collapsed="false">
      <c r="A47" s="0" t="str">
        <f aca="false">IF(39&gt;$C$6,"",39)</f>
        <v/>
      </c>
      <c r="B47" s="0" t="str">
        <f aca="false">IF($A47="","",IFERROR(INDEX(Equipment!$A$5:$A$500,MATCH($A47,Equipment!$S$5:$S$500,0))&amp;"",""))</f>
        <v/>
      </c>
      <c r="C47" s="0" t="str">
        <f aca="false">IF($A47="","",IFERROR(INDEX(Equipment!$B$5:$B$500,MATCH($A47,Equipment!$S$5:$S$500,0))&amp;"",""))</f>
        <v/>
      </c>
      <c r="D47" s="0" t="str">
        <f aca="false">IF($A47="","",IFERROR(INDEX(Equipment!$E$5:$E$500,MATCH($A47,Equipment!$S$5:$S$500,0))&amp;"",""))</f>
        <v/>
      </c>
      <c r="E47" s="0" t="str">
        <f aca="false">IF($A47="","",IFERROR(INDEX(Equipment!$F$5:$F$500,MATCH($A47,Equipment!$S$5:$S$500,0))&amp;"",""))</f>
        <v/>
      </c>
      <c r="F47" s="0" t="str">
        <f aca="false">IF($A47="","",IFERROR(INDEX(Equipment!$G$5:$G$500,MATCH($A47,Equipment!$S$5:$S$500,0))&amp;"",""))</f>
        <v/>
      </c>
      <c r="G47" s="0" t="str">
        <f aca="false">IF($A47="","",IFERROR(INDEX(Equipment!$H$5:$H$500,MATCH($A47,Equipment!$S$5:$S$500,0))&amp;"",""))</f>
        <v/>
      </c>
      <c r="H47" s="0" t="str">
        <f aca="false">IF($A47="","",IFERROR(INDEX(Equipment!$J$5:$J$500,MATCH($A47,Equipment!$S$5:$S$500,0))&amp;"",""))</f>
        <v/>
      </c>
      <c r="I47" s="0" t="str">
        <f aca="false">IF($A47="","",IFERROR(INDEX(Equipment!$K$5:$K$500,MATCH($A47,Equipment!$S$5:$S$500,0))&amp;"",""))</f>
        <v/>
      </c>
      <c r="J47" s="0" t="str">
        <f aca="false">IF($A47="","",IFERROR(INDEX(Equipment!$L$5:$L$500,MATCH($A47,Equipment!$S$5:$S$500,0))&amp;"",""))</f>
        <v/>
      </c>
      <c r="K47" s="0" t="str">
        <f aca="false">IF($A47="","",IFERROR(INDEX(Equipment!$Q$5:$Q$500,MATCH($A47,Equipment!$S$5:$S$500,0))&amp;"",""))</f>
        <v/>
      </c>
    </row>
    <row r="48" customFormat="false" ht="15" hidden="false" customHeight="false" outlineLevel="0" collapsed="false">
      <c r="A48" s="0" t="str">
        <f aca="false">IF(40&gt;$C$6,"",40)</f>
        <v/>
      </c>
      <c r="B48" s="0" t="str">
        <f aca="false">IF($A48="","",IFERROR(INDEX(Equipment!$A$5:$A$500,MATCH($A48,Equipment!$S$5:$S$500,0))&amp;"",""))</f>
        <v/>
      </c>
      <c r="C48" s="0" t="str">
        <f aca="false">IF($A48="","",IFERROR(INDEX(Equipment!$B$5:$B$500,MATCH($A48,Equipment!$S$5:$S$500,0))&amp;"",""))</f>
        <v/>
      </c>
      <c r="D48" s="0" t="str">
        <f aca="false">IF($A48="","",IFERROR(INDEX(Equipment!$E$5:$E$500,MATCH($A48,Equipment!$S$5:$S$500,0))&amp;"",""))</f>
        <v/>
      </c>
      <c r="E48" s="0" t="str">
        <f aca="false">IF($A48="","",IFERROR(INDEX(Equipment!$F$5:$F$500,MATCH($A48,Equipment!$S$5:$S$500,0))&amp;"",""))</f>
        <v/>
      </c>
      <c r="F48" s="0" t="str">
        <f aca="false">IF($A48="","",IFERROR(INDEX(Equipment!$G$5:$G$500,MATCH($A48,Equipment!$S$5:$S$500,0))&amp;"",""))</f>
        <v/>
      </c>
      <c r="G48" s="0" t="str">
        <f aca="false">IF($A48="","",IFERROR(INDEX(Equipment!$H$5:$H$500,MATCH($A48,Equipment!$S$5:$S$500,0))&amp;"",""))</f>
        <v/>
      </c>
      <c r="H48" s="0" t="str">
        <f aca="false">IF($A48="","",IFERROR(INDEX(Equipment!$J$5:$J$500,MATCH($A48,Equipment!$S$5:$S$500,0))&amp;"",""))</f>
        <v/>
      </c>
      <c r="I48" s="0" t="str">
        <f aca="false">IF($A48="","",IFERROR(INDEX(Equipment!$K$5:$K$500,MATCH($A48,Equipment!$S$5:$S$500,0))&amp;"",""))</f>
        <v/>
      </c>
      <c r="J48" s="0" t="str">
        <f aca="false">IF($A48="","",IFERROR(INDEX(Equipment!$L$5:$L$500,MATCH($A48,Equipment!$S$5:$S$500,0))&amp;"",""))</f>
        <v/>
      </c>
      <c r="K48" s="0" t="str">
        <f aca="false">IF($A48="","",IFERROR(INDEX(Equipment!$Q$5:$Q$500,MATCH($A48,Equipment!$S$5:$S$500,0))&amp;"",""))</f>
        <v/>
      </c>
    </row>
    <row r="49" customFormat="false" ht="15" hidden="false" customHeight="false" outlineLevel="0" collapsed="false">
      <c r="A49" s="0" t="str">
        <f aca="false">IF(41&gt;$C$6,"",41)</f>
        <v/>
      </c>
      <c r="B49" s="0" t="str">
        <f aca="false">IF($A49="","",IFERROR(INDEX(Equipment!$A$5:$A$500,MATCH($A49,Equipment!$S$5:$S$500,0))&amp;"",""))</f>
        <v/>
      </c>
      <c r="C49" s="0" t="str">
        <f aca="false">IF($A49="","",IFERROR(INDEX(Equipment!$B$5:$B$500,MATCH($A49,Equipment!$S$5:$S$500,0))&amp;"",""))</f>
        <v/>
      </c>
      <c r="D49" s="0" t="str">
        <f aca="false">IF($A49="","",IFERROR(INDEX(Equipment!$E$5:$E$500,MATCH($A49,Equipment!$S$5:$S$500,0))&amp;"",""))</f>
        <v/>
      </c>
      <c r="E49" s="0" t="str">
        <f aca="false">IF($A49="","",IFERROR(INDEX(Equipment!$F$5:$F$500,MATCH($A49,Equipment!$S$5:$S$500,0))&amp;"",""))</f>
        <v/>
      </c>
      <c r="F49" s="0" t="str">
        <f aca="false">IF($A49="","",IFERROR(INDEX(Equipment!$G$5:$G$500,MATCH($A49,Equipment!$S$5:$S$500,0))&amp;"",""))</f>
        <v/>
      </c>
      <c r="G49" s="0" t="str">
        <f aca="false">IF($A49="","",IFERROR(INDEX(Equipment!$H$5:$H$500,MATCH($A49,Equipment!$S$5:$S$500,0))&amp;"",""))</f>
        <v/>
      </c>
      <c r="H49" s="0" t="str">
        <f aca="false">IF($A49="","",IFERROR(INDEX(Equipment!$J$5:$J$500,MATCH($A49,Equipment!$S$5:$S$500,0))&amp;"",""))</f>
        <v/>
      </c>
      <c r="I49" s="0" t="str">
        <f aca="false">IF($A49="","",IFERROR(INDEX(Equipment!$K$5:$K$500,MATCH($A49,Equipment!$S$5:$S$500,0))&amp;"",""))</f>
        <v/>
      </c>
      <c r="J49" s="0" t="str">
        <f aca="false">IF($A49="","",IFERROR(INDEX(Equipment!$L$5:$L$500,MATCH($A49,Equipment!$S$5:$S$500,0))&amp;"",""))</f>
        <v/>
      </c>
      <c r="K49" s="0" t="str">
        <f aca="false">IF($A49="","",IFERROR(INDEX(Equipment!$Q$5:$Q$500,MATCH($A49,Equipment!$S$5:$S$500,0))&amp;"",""))</f>
        <v/>
      </c>
    </row>
    <row r="50" customFormat="false" ht="15" hidden="false" customHeight="false" outlineLevel="0" collapsed="false">
      <c r="A50" s="0" t="str">
        <f aca="false">IF(42&gt;$C$6,"",42)</f>
        <v/>
      </c>
      <c r="B50" s="0" t="str">
        <f aca="false">IF($A50="","",IFERROR(INDEX(Equipment!$A$5:$A$500,MATCH($A50,Equipment!$S$5:$S$500,0))&amp;"",""))</f>
        <v/>
      </c>
      <c r="C50" s="0" t="str">
        <f aca="false">IF($A50="","",IFERROR(INDEX(Equipment!$B$5:$B$500,MATCH($A50,Equipment!$S$5:$S$500,0))&amp;"",""))</f>
        <v/>
      </c>
      <c r="D50" s="0" t="str">
        <f aca="false">IF($A50="","",IFERROR(INDEX(Equipment!$E$5:$E$500,MATCH($A50,Equipment!$S$5:$S$500,0))&amp;"",""))</f>
        <v/>
      </c>
      <c r="E50" s="0" t="str">
        <f aca="false">IF($A50="","",IFERROR(INDEX(Equipment!$F$5:$F$500,MATCH($A50,Equipment!$S$5:$S$500,0))&amp;"",""))</f>
        <v/>
      </c>
      <c r="F50" s="0" t="str">
        <f aca="false">IF($A50="","",IFERROR(INDEX(Equipment!$G$5:$G$500,MATCH($A50,Equipment!$S$5:$S$500,0))&amp;"",""))</f>
        <v/>
      </c>
      <c r="G50" s="0" t="str">
        <f aca="false">IF($A50="","",IFERROR(INDEX(Equipment!$H$5:$H$500,MATCH($A50,Equipment!$S$5:$S$500,0))&amp;"",""))</f>
        <v/>
      </c>
      <c r="H50" s="0" t="str">
        <f aca="false">IF($A50="","",IFERROR(INDEX(Equipment!$J$5:$J$500,MATCH($A50,Equipment!$S$5:$S$500,0))&amp;"",""))</f>
        <v/>
      </c>
      <c r="I50" s="0" t="str">
        <f aca="false">IF($A50="","",IFERROR(INDEX(Equipment!$K$5:$K$500,MATCH($A50,Equipment!$S$5:$S$500,0))&amp;"",""))</f>
        <v/>
      </c>
      <c r="J50" s="0" t="str">
        <f aca="false">IF($A50="","",IFERROR(INDEX(Equipment!$L$5:$L$500,MATCH($A50,Equipment!$S$5:$S$500,0))&amp;"",""))</f>
        <v/>
      </c>
      <c r="K50" s="0" t="str">
        <f aca="false">IF($A50="","",IFERROR(INDEX(Equipment!$Q$5:$Q$500,MATCH($A50,Equipment!$S$5:$S$500,0))&amp;"",""))</f>
        <v/>
      </c>
    </row>
    <row r="51" customFormat="false" ht="15" hidden="false" customHeight="false" outlineLevel="0" collapsed="false">
      <c r="A51" s="0" t="str">
        <f aca="false">IF(43&gt;$C$6,"",43)</f>
        <v/>
      </c>
      <c r="B51" s="0" t="str">
        <f aca="false">IF($A51="","",IFERROR(INDEX(Equipment!$A$5:$A$500,MATCH($A51,Equipment!$S$5:$S$500,0))&amp;"",""))</f>
        <v/>
      </c>
      <c r="C51" s="0" t="str">
        <f aca="false">IF($A51="","",IFERROR(INDEX(Equipment!$B$5:$B$500,MATCH($A51,Equipment!$S$5:$S$500,0))&amp;"",""))</f>
        <v/>
      </c>
      <c r="D51" s="0" t="str">
        <f aca="false">IF($A51="","",IFERROR(INDEX(Equipment!$E$5:$E$500,MATCH($A51,Equipment!$S$5:$S$500,0))&amp;"",""))</f>
        <v/>
      </c>
      <c r="E51" s="0" t="str">
        <f aca="false">IF($A51="","",IFERROR(INDEX(Equipment!$F$5:$F$500,MATCH($A51,Equipment!$S$5:$S$500,0))&amp;"",""))</f>
        <v/>
      </c>
      <c r="F51" s="0" t="str">
        <f aca="false">IF($A51="","",IFERROR(INDEX(Equipment!$G$5:$G$500,MATCH($A51,Equipment!$S$5:$S$500,0))&amp;"",""))</f>
        <v/>
      </c>
      <c r="G51" s="0" t="str">
        <f aca="false">IF($A51="","",IFERROR(INDEX(Equipment!$H$5:$H$500,MATCH($A51,Equipment!$S$5:$S$500,0))&amp;"",""))</f>
        <v/>
      </c>
      <c r="H51" s="0" t="str">
        <f aca="false">IF($A51="","",IFERROR(INDEX(Equipment!$J$5:$J$500,MATCH($A51,Equipment!$S$5:$S$500,0))&amp;"",""))</f>
        <v/>
      </c>
      <c r="I51" s="0" t="str">
        <f aca="false">IF($A51="","",IFERROR(INDEX(Equipment!$K$5:$K$500,MATCH($A51,Equipment!$S$5:$S$500,0))&amp;"",""))</f>
        <v/>
      </c>
      <c r="J51" s="0" t="str">
        <f aca="false">IF($A51="","",IFERROR(INDEX(Equipment!$L$5:$L$500,MATCH($A51,Equipment!$S$5:$S$500,0))&amp;"",""))</f>
        <v/>
      </c>
      <c r="K51" s="0" t="str">
        <f aca="false">IF($A51="","",IFERROR(INDEX(Equipment!$Q$5:$Q$500,MATCH($A51,Equipment!$S$5:$S$500,0))&amp;"",""))</f>
        <v/>
      </c>
    </row>
    <row r="52" customFormat="false" ht="15" hidden="false" customHeight="false" outlineLevel="0" collapsed="false">
      <c r="A52" s="0" t="str">
        <f aca="false">IF(44&gt;$C$6,"",44)</f>
        <v/>
      </c>
      <c r="B52" s="0" t="str">
        <f aca="false">IF($A52="","",IFERROR(INDEX(Equipment!$A$5:$A$500,MATCH($A52,Equipment!$S$5:$S$500,0))&amp;"",""))</f>
        <v/>
      </c>
      <c r="C52" s="0" t="str">
        <f aca="false">IF($A52="","",IFERROR(INDEX(Equipment!$B$5:$B$500,MATCH($A52,Equipment!$S$5:$S$500,0))&amp;"",""))</f>
        <v/>
      </c>
      <c r="D52" s="0" t="str">
        <f aca="false">IF($A52="","",IFERROR(INDEX(Equipment!$E$5:$E$500,MATCH($A52,Equipment!$S$5:$S$500,0))&amp;"",""))</f>
        <v/>
      </c>
      <c r="E52" s="0" t="str">
        <f aca="false">IF($A52="","",IFERROR(INDEX(Equipment!$F$5:$F$500,MATCH($A52,Equipment!$S$5:$S$500,0))&amp;"",""))</f>
        <v/>
      </c>
      <c r="F52" s="0" t="str">
        <f aca="false">IF($A52="","",IFERROR(INDEX(Equipment!$G$5:$G$500,MATCH($A52,Equipment!$S$5:$S$500,0))&amp;"",""))</f>
        <v/>
      </c>
      <c r="G52" s="0" t="str">
        <f aca="false">IF($A52="","",IFERROR(INDEX(Equipment!$H$5:$H$500,MATCH($A52,Equipment!$S$5:$S$500,0))&amp;"",""))</f>
        <v/>
      </c>
      <c r="H52" s="0" t="str">
        <f aca="false">IF($A52="","",IFERROR(INDEX(Equipment!$J$5:$J$500,MATCH($A52,Equipment!$S$5:$S$500,0))&amp;"",""))</f>
        <v/>
      </c>
      <c r="I52" s="0" t="str">
        <f aca="false">IF($A52="","",IFERROR(INDEX(Equipment!$K$5:$K$500,MATCH($A52,Equipment!$S$5:$S$500,0))&amp;"",""))</f>
        <v/>
      </c>
      <c r="J52" s="0" t="str">
        <f aca="false">IF($A52="","",IFERROR(INDEX(Equipment!$L$5:$L$500,MATCH($A52,Equipment!$S$5:$S$500,0))&amp;"",""))</f>
        <v/>
      </c>
      <c r="K52" s="0" t="str">
        <f aca="false">IF($A52="","",IFERROR(INDEX(Equipment!$Q$5:$Q$500,MATCH($A52,Equipment!$S$5:$S$500,0))&amp;"",""))</f>
        <v/>
      </c>
    </row>
    <row r="53" customFormat="false" ht="15" hidden="false" customHeight="false" outlineLevel="0" collapsed="false">
      <c r="A53" s="0" t="str">
        <f aca="false">IF(45&gt;$C$6,"",45)</f>
        <v/>
      </c>
      <c r="B53" s="0" t="str">
        <f aca="false">IF($A53="","",IFERROR(INDEX(Equipment!$A$5:$A$500,MATCH($A53,Equipment!$S$5:$S$500,0))&amp;"",""))</f>
        <v/>
      </c>
      <c r="C53" s="0" t="str">
        <f aca="false">IF($A53="","",IFERROR(INDEX(Equipment!$B$5:$B$500,MATCH($A53,Equipment!$S$5:$S$500,0))&amp;"",""))</f>
        <v/>
      </c>
      <c r="D53" s="0" t="str">
        <f aca="false">IF($A53="","",IFERROR(INDEX(Equipment!$E$5:$E$500,MATCH($A53,Equipment!$S$5:$S$500,0))&amp;"",""))</f>
        <v/>
      </c>
      <c r="E53" s="0" t="str">
        <f aca="false">IF($A53="","",IFERROR(INDEX(Equipment!$F$5:$F$500,MATCH($A53,Equipment!$S$5:$S$500,0))&amp;"",""))</f>
        <v/>
      </c>
      <c r="F53" s="0" t="str">
        <f aca="false">IF($A53="","",IFERROR(INDEX(Equipment!$G$5:$G$500,MATCH($A53,Equipment!$S$5:$S$500,0))&amp;"",""))</f>
        <v/>
      </c>
      <c r="G53" s="0" t="str">
        <f aca="false">IF($A53="","",IFERROR(INDEX(Equipment!$H$5:$H$500,MATCH($A53,Equipment!$S$5:$S$500,0))&amp;"",""))</f>
        <v/>
      </c>
      <c r="H53" s="0" t="str">
        <f aca="false">IF($A53="","",IFERROR(INDEX(Equipment!$J$5:$J$500,MATCH($A53,Equipment!$S$5:$S$500,0))&amp;"",""))</f>
        <v/>
      </c>
      <c r="I53" s="0" t="str">
        <f aca="false">IF($A53="","",IFERROR(INDEX(Equipment!$K$5:$K$500,MATCH($A53,Equipment!$S$5:$S$500,0))&amp;"",""))</f>
        <v/>
      </c>
      <c r="J53" s="0" t="str">
        <f aca="false">IF($A53="","",IFERROR(INDEX(Equipment!$L$5:$L$500,MATCH($A53,Equipment!$S$5:$S$500,0))&amp;"",""))</f>
        <v/>
      </c>
      <c r="K53" s="0" t="str">
        <f aca="false">IF($A53="","",IFERROR(INDEX(Equipment!$Q$5:$Q$500,MATCH($A53,Equipment!$S$5:$S$500,0))&amp;"",""))</f>
        <v/>
      </c>
    </row>
    <row r="54" customFormat="false" ht="15" hidden="false" customHeight="false" outlineLevel="0" collapsed="false">
      <c r="A54" s="0" t="str">
        <f aca="false">IF(46&gt;$C$6,"",46)</f>
        <v/>
      </c>
      <c r="B54" s="0" t="str">
        <f aca="false">IF($A54="","",IFERROR(INDEX(Equipment!$A$5:$A$500,MATCH($A54,Equipment!$S$5:$S$500,0))&amp;"",""))</f>
        <v/>
      </c>
      <c r="C54" s="0" t="str">
        <f aca="false">IF($A54="","",IFERROR(INDEX(Equipment!$B$5:$B$500,MATCH($A54,Equipment!$S$5:$S$500,0))&amp;"",""))</f>
        <v/>
      </c>
      <c r="D54" s="0" t="str">
        <f aca="false">IF($A54="","",IFERROR(INDEX(Equipment!$E$5:$E$500,MATCH($A54,Equipment!$S$5:$S$500,0))&amp;"",""))</f>
        <v/>
      </c>
      <c r="E54" s="0" t="str">
        <f aca="false">IF($A54="","",IFERROR(INDEX(Equipment!$F$5:$F$500,MATCH($A54,Equipment!$S$5:$S$500,0))&amp;"",""))</f>
        <v/>
      </c>
      <c r="F54" s="0" t="str">
        <f aca="false">IF($A54="","",IFERROR(INDEX(Equipment!$G$5:$G$500,MATCH($A54,Equipment!$S$5:$S$500,0))&amp;"",""))</f>
        <v/>
      </c>
      <c r="G54" s="0" t="str">
        <f aca="false">IF($A54="","",IFERROR(INDEX(Equipment!$H$5:$H$500,MATCH($A54,Equipment!$S$5:$S$500,0))&amp;"",""))</f>
        <v/>
      </c>
      <c r="H54" s="0" t="str">
        <f aca="false">IF($A54="","",IFERROR(INDEX(Equipment!$J$5:$J$500,MATCH($A54,Equipment!$S$5:$S$500,0))&amp;"",""))</f>
        <v/>
      </c>
      <c r="I54" s="0" t="str">
        <f aca="false">IF($A54="","",IFERROR(INDEX(Equipment!$K$5:$K$500,MATCH($A54,Equipment!$S$5:$S$500,0))&amp;"",""))</f>
        <v/>
      </c>
      <c r="J54" s="0" t="str">
        <f aca="false">IF($A54="","",IFERROR(INDEX(Equipment!$L$5:$L$500,MATCH($A54,Equipment!$S$5:$S$500,0))&amp;"",""))</f>
        <v/>
      </c>
      <c r="K54" s="0" t="str">
        <f aca="false">IF($A54="","",IFERROR(INDEX(Equipment!$Q$5:$Q$500,MATCH($A54,Equipment!$S$5:$S$500,0))&amp;"",""))</f>
        <v/>
      </c>
    </row>
    <row r="55" customFormat="false" ht="15" hidden="false" customHeight="false" outlineLevel="0" collapsed="false">
      <c r="A55" s="0" t="str">
        <f aca="false">IF(47&gt;$C$6,"",47)</f>
        <v/>
      </c>
      <c r="B55" s="0" t="str">
        <f aca="false">IF($A55="","",IFERROR(INDEX(Equipment!$A$5:$A$500,MATCH($A55,Equipment!$S$5:$S$500,0))&amp;"",""))</f>
        <v/>
      </c>
      <c r="C55" s="0" t="str">
        <f aca="false">IF($A55="","",IFERROR(INDEX(Equipment!$B$5:$B$500,MATCH($A55,Equipment!$S$5:$S$500,0))&amp;"",""))</f>
        <v/>
      </c>
      <c r="D55" s="0" t="str">
        <f aca="false">IF($A55="","",IFERROR(INDEX(Equipment!$E$5:$E$500,MATCH($A55,Equipment!$S$5:$S$500,0))&amp;"",""))</f>
        <v/>
      </c>
      <c r="E55" s="0" t="str">
        <f aca="false">IF($A55="","",IFERROR(INDEX(Equipment!$F$5:$F$500,MATCH($A55,Equipment!$S$5:$S$500,0))&amp;"",""))</f>
        <v/>
      </c>
      <c r="F55" s="0" t="str">
        <f aca="false">IF($A55="","",IFERROR(INDEX(Equipment!$G$5:$G$500,MATCH($A55,Equipment!$S$5:$S$500,0))&amp;"",""))</f>
        <v/>
      </c>
      <c r="G55" s="0" t="str">
        <f aca="false">IF($A55="","",IFERROR(INDEX(Equipment!$H$5:$H$500,MATCH($A55,Equipment!$S$5:$S$500,0))&amp;"",""))</f>
        <v/>
      </c>
      <c r="H55" s="0" t="str">
        <f aca="false">IF($A55="","",IFERROR(INDEX(Equipment!$J$5:$J$500,MATCH($A55,Equipment!$S$5:$S$500,0))&amp;"",""))</f>
        <v/>
      </c>
      <c r="I55" s="0" t="str">
        <f aca="false">IF($A55="","",IFERROR(INDEX(Equipment!$K$5:$K$500,MATCH($A55,Equipment!$S$5:$S$500,0))&amp;"",""))</f>
        <v/>
      </c>
      <c r="J55" s="0" t="str">
        <f aca="false">IF($A55="","",IFERROR(INDEX(Equipment!$L$5:$L$500,MATCH($A55,Equipment!$S$5:$S$500,0))&amp;"",""))</f>
        <v/>
      </c>
      <c r="K55" s="0" t="str">
        <f aca="false">IF($A55="","",IFERROR(INDEX(Equipment!$Q$5:$Q$500,MATCH($A55,Equipment!$S$5:$S$500,0))&amp;"",""))</f>
        <v/>
      </c>
    </row>
    <row r="56" customFormat="false" ht="15" hidden="false" customHeight="false" outlineLevel="0" collapsed="false">
      <c r="A56" s="0" t="str">
        <f aca="false">IF(48&gt;$C$6,"",48)</f>
        <v/>
      </c>
      <c r="B56" s="0" t="str">
        <f aca="false">IF($A56="","",IFERROR(INDEX(Equipment!$A$5:$A$500,MATCH($A56,Equipment!$S$5:$S$500,0))&amp;"",""))</f>
        <v/>
      </c>
      <c r="C56" s="0" t="str">
        <f aca="false">IF($A56="","",IFERROR(INDEX(Equipment!$B$5:$B$500,MATCH($A56,Equipment!$S$5:$S$500,0))&amp;"",""))</f>
        <v/>
      </c>
      <c r="D56" s="0" t="str">
        <f aca="false">IF($A56="","",IFERROR(INDEX(Equipment!$E$5:$E$500,MATCH($A56,Equipment!$S$5:$S$500,0))&amp;"",""))</f>
        <v/>
      </c>
      <c r="E56" s="0" t="str">
        <f aca="false">IF($A56="","",IFERROR(INDEX(Equipment!$F$5:$F$500,MATCH($A56,Equipment!$S$5:$S$500,0))&amp;"",""))</f>
        <v/>
      </c>
      <c r="F56" s="0" t="str">
        <f aca="false">IF($A56="","",IFERROR(INDEX(Equipment!$G$5:$G$500,MATCH($A56,Equipment!$S$5:$S$500,0))&amp;"",""))</f>
        <v/>
      </c>
      <c r="G56" s="0" t="str">
        <f aca="false">IF($A56="","",IFERROR(INDEX(Equipment!$H$5:$H$500,MATCH($A56,Equipment!$S$5:$S$500,0))&amp;"",""))</f>
        <v/>
      </c>
      <c r="H56" s="0" t="str">
        <f aca="false">IF($A56="","",IFERROR(INDEX(Equipment!$J$5:$J$500,MATCH($A56,Equipment!$S$5:$S$500,0))&amp;"",""))</f>
        <v/>
      </c>
      <c r="I56" s="0" t="str">
        <f aca="false">IF($A56="","",IFERROR(INDEX(Equipment!$K$5:$K$500,MATCH($A56,Equipment!$S$5:$S$500,0))&amp;"",""))</f>
        <v/>
      </c>
      <c r="J56" s="0" t="str">
        <f aca="false">IF($A56="","",IFERROR(INDEX(Equipment!$L$5:$L$500,MATCH($A56,Equipment!$S$5:$S$500,0))&amp;"",""))</f>
        <v/>
      </c>
      <c r="K56" s="0" t="str">
        <f aca="false">IF($A56="","",IFERROR(INDEX(Equipment!$Q$5:$Q$500,MATCH($A56,Equipment!$S$5:$S$500,0))&amp;"",""))</f>
        <v/>
      </c>
    </row>
    <row r="57" customFormat="false" ht="15" hidden="false" customHeight="false" outlineLevel="0" collapsed="false">
      <c r="A57" s="0" t="str">
        <f aca="false">IF(49&gt;$C$6,"",49)</f>
        <v/>
      </c>
      <c r="B57" s="0" t="str">
        <f aca="false">IF($A57="","",IFERROR(INDEX(Equipment!$A$5:$A$500,MATCH($A57,Equipment!$S$5:$S$500,0))&amp;"",""))</f>
        <v/>
      </c>
      <c r="C57" s="0" t="str">
        <f aca="false">IF($A57="","",IFERROR(INDEX(Equipment!$B$5:$B$500,MATCH($A57,Equipment!$S$5:$S$500,0))&amp;"",""))</f>
        <v/>
      </c>
      <c r="D57" s="0" t="str">
        <f aca="false">IF($A57="","",IFERROR(INDEX(Equipment!$E$5:$E$500,MATCH($A57,Equipment!$S$5:$S$500,0))&amp;"",""))</f>
        <v/>
      </c>
      <c r="E57" s="0" t="str">
        <f aca="false">IF($A57="","",IFERROR(INDEX(Equipment!$F$5:$F$500,MATCH($A57,Equipment!$S$5:$S$500,0))&amp;"",""))</f>
        <v/>
      </c>
      <c r="F57" s="0" t="str">
        <f aca="false">IF($A57="","",IFERROR(INDEX(Equipment!$G$5:$G$500,MATCH($A57,Equipment!$S$5:$S$500,0))&amp;"",""))</f>
        <v/>
      </c>
      <c r="G57" s="0" t="str">
        <f aca="false">IF($A57="","",IFERROR(INDEX(Equipment!$H$5:$H$500,MATCH($A57,Equipment!$S$5:$S$500,0))&amp;"",""))</f>
        <v/>
      </c>
      <c r="H57" s="0" t="str">
        <f aca="false">IF($A57="","",IFERROR(INDEX(Equipment!$J$5:$J$500,MATCH($A57,Equipment!$S$5:$S$500,0))&amp;"",""))</f>
        <v/>
      </c>
      <c r="I57" s="0" t="str">
        <f aca="false">IF($A57="","",IFERROR(INDEX(Equipment!$K$5:$K$500,MATCH($A57,Equipment!$S$5:$S$500,0))&amp;"",""))</f>
        <v/>
      </c>
      <c r="J57" s="0" t="str">
        <f aca="false">IF($A57="","",IFERROR(INDEX(Equipment!$L$5:$L$500,MATCH($A57,Equipment!$S$5:$S$500,0))&amp;"",""))</f>
        <v/>
      </c>
      <c r="K57" s="0" t="str">
        <f aca="false">IF($A57="","",IFERROR(INDEX(Equipment!$Q$5:$Q$500,MATCH($A57,Equipment!$S$5:$S$500,0))&amp;"",""))</f>
        <v/>
      </c>
    </row>
    <row r="58" customFormat="false" ht="15" hidden="false" customHeight="false" outlineLevel="0" collapsed="false">
      <c r="A58" s="0" t="str">
        <f aca="false">IF(50&gt;$C$6,"",50)</f>
        <v/>
      </c>
      <c r="B58" s="0" t="str">
        <f aca="false">IF($A58="","",IFERROR(INDEX(Equipment!$A$5:$A$500,MATCH($A58,Equipment!$S$5:$S$500,0))&amp;"",""))</f>
        <v/>
      </c>
      <c r="C58" s="0" t="str">
        <f aca="false">IF($A58="","",IFERROR(INDEX(Equipment!$B$5:$B$500,MATCH($A58,Equipment!$S$5:$S$500,0))&amp;"",""))</f>
        <v/>
      </c>
      <c r="D58" s="0" t="str">
        <f aca="false">IF($A58="","",IFERROR(INDEX(Equipment!$E$5:$E$500,MATCH($A58,Equipment!$S$5:$S$500,0))&amp;"",""))</f>
        <v/>
      </c>
      <c r="E58" s="0" t="str">
        <f aca="false">IF($A58="","",IFERROR(INDEX(Equipment!$F$5:$F$500,MATCH($A58,Equipment!$S$5:$S$500,0))&amp;"",""))</f>
        <v/>
      </c>
      <c r="F58" s="0" t="str">
        <f aca="false">IF($A58="","",IFERROR(INDEX(Equipment!$G$5:$G$500,MATCH($A58,Equipment!$S$5:$S$500,0))&amp;"",""))</f>
        <v/>
      </c>
      <c r="G58" s="0" t="str">
        <f aca="false">IF($A58="","",IFERROR(INDEX(Equipment!$H$5:$H$500,MATCH($A58,Equipment!$S$5:$S$500,0))&amp;"",""))</f>
        <v/>
      </c>
      <c r="H58" s="0" t="str">
        <f aca="false">IF($A58="","",IFERROR(INDEX(Equipment!$J$5:$J$500,MATCH($A58,Equipment!$S$5:$S$500,0))&amp;"",""))</f>
        <v/>
      </c>
      <c r="I58" s="0" t="str">
        <f aca="false">IF($A58="","",IFERROR(INDEX(Equipment!$K$5:$K$500,MATCH($A58,Equipment!$S$5:$S$500,0))&amp;"",""))</f>
        <v/>
      </c>
      <c r="J58" s="0" t="str">
        <f aca="false">IF($A58="","",IFERROR(INDEX(Equipment!$L$5:$L$500,MATCH($A58,Equipment!$S$5:$S$500,0))&amp;"",""))</f>
        <v/>
      </c>
      <c r="K58" s="0" t="str">
        <f aca="false">IF($A58="","",IFERROR(INDEX(Equipment!$Q$5:$Q$500,MATCH($A58,Equipment!$S$5:$S$500,0))&amp;"",""))</f>
        <v/>
      </c>
    </row>
    <row r="59" customFormat="false" ht="15" hidden="false" customHeight="false" outlineLevel="0" collapsed="false">
      <c r="A59" s="0" t="str">
        <f aca="false">IF(51&gt;$C$6,"",51)</f>
        <v/>
      </c>
      <c r="B59" s="0" t="str">
        <f aca="false">IF($A59="","",IFERROR(INDEX(Equipment!$A$5:$A$500,MATCH($A59,Equipment!$S$5:$S$500,0))&amp;"",""))</f>
        <v/>
      </c>
      <c r="C59" s="0" t="str">
        <f aca="false">IF($A59="","",IFERROR(INDEX(Equipment!$B$5:$B$500,MATCH($A59,Equipment!$S$5:$S$500,0))&amp;"",""))</f>
        <v/>
      </c>
      <c r="D59" s="0" t="str">
        <f aca="false">IF($A59="","",IFERROR(INDEX(Equipment!$E$5:$E$500,MATCH($A59,Equipment!$S$5:$S$500,0))&amp;"",""))</f>
        <v/>
      </c>
      <c r="E59" s="0" t="str">
        <f aca="false">IF($A59="","",IFERROR(INDEX(Equipment!$F$5:$F$500,MATCH($A59,Equipment!$S$5:$S$500,0))&amp;"",""))</f>
        <v/>
      </c>
      <c r="F59" s="0" t="str">
        <f aca="false">IF($A59="","",IFERROR(INDEX(Equipment!$G$5:$G$500,MATCH($A59,Equipment!$S$5:$S$500,0))&amp;"",""))</f>
        <v/>
      </c>
      <c r="G59" s="0" t="str">
        <f aca="false">IF($A59="","",IFERROR(INDEX(Equipment!$H$5:$H$500,MATCH($A59,Equipment!$S$5:$S$500,0))&amp;"",""))</f>
        <v/>
      </c>
      <c r="H59" s="0" t="str">
        <f aca="false">IF($A59="","",IFERROR(INDEX(Equipment!$J$5:$J$500,MATCH($A59,Equipment!$S$5:$S$500,0))&amp;"",""))</f>
        <v/>
      </c>
      <c r="I59" s="0" t="str">
        <f aca="false">IF($A59="","",IFERROR(INDEX(Equipment!$K$5:$K$500,MATCH($A59,Equipment!$S$5:$S$500,0))&amp;"",""))</f>
        <v/>
      </c>
      <c r="J59" s="0" t="str">
        <f aca="false">IF($A59="","",IFERROR(INDEX(Equipment!$L$5:$L$500,MATCH($A59,Equipment!$S$5:$S$500,0))&amp;"",""))</f>
        <v/>
      </c>
      <c r="K59" s="0" t="str">
        <f aca="false">IF($A59="","",IFERROR(INDEX(Equipment!$Q$5:$Q$500,MATCH($A59,Equipment!$S$5:$S$500,0))&amp;"",""))</f>
        <v/>
      </c>
    </row>
    <row r="60" customFormat="false" ht="15" hidden="false" customHeight="false" outlineLevel="0" collapsed="false">
      <c r="A60" s="0" t="str">
        <f aca="false">IF(52&gt;$C$6,"",52)</f>
        <v/>
      </c>
      <c r="B60" s="0" t="str">
        <f aca="false">IF($A60="","",IFERROR(INDEX(Equipment!$A$5:$A$500,MATCH($A60,Equipment!$S$5:$S$500,0))&amp;"",""))</f>
        <v/>
      </c>
      <c r="C60" s="0" t="str">
        <f aca="false">IF($A60="","",IFERROR(INDEX(Equipment!$B$5:$B$500,MATCH($A60,Equipment!$S$5:$S$500,0))&amp;"",""))</f>
        <v/>
      </c>
      <c r="D60" s="0" t="str">
        <f aca="false">IF($A60="","",IFERROR(INDEX(Equipment!$E$5:$E$500,MATCH($A60,Equipment!$S$5:$S$500,0))&amp;"",""))</f>
        <v/>
      </c>
      <c r="E60" s="0" t="str">
        <f aca="false">IF($A60="","",IFERROR(INDEX(Equipment!$F$5:$F$500,MATCH($A60,Equipment!$S$5:$S$500,0))&amp;"",""))</f>
        <v/>
      </c>
      <c r="F60" s="0" t="str">
        <f aca="false">IF($A60="","",IFERROR(INDEX(Equipment!$G$5:$G$500,MATCH($A60,Equipment!$S$5:$S$500,0))&amp;"",""))</f>
        <v/>
      </c>
      <c r="G60" s="0" t="str">
        <f aca="false">IF($A60="","",IFERROR(INDEX(Equipment!$H$5:$H$500,MATCH($A60,Equipment!$S$5:$S$500,0))&amp;"",""))</f>
        <v/>
      </c>
      <c r="H60" s="0" t="str">
        <f aca="false">IF($A60="","",IFERROR(INDEX(Equipment!$J$5:$J$500,MATCH($A60,Equipment!$S$5:$S$500,0))&amp;"",""))</f>
        <v/>
      </c>
      <c r="I60" s="0" t="str">
        <f aca="false">IF($A60="","",IFERROR(INDEX(Equipment!$K$5:$K$500,MATCH($A60,Equipment!$S$5:$S$500,0))&amp;"",""))</f>
        <v/>
      </c>
      <c r="J60" s="0" t="str">
        <f aca="false">IF($A60="","",IFERROR(INDEX(Equipment!$L$5:$L$500,MATCH($A60,Equipment!$S$5:$S$500,0))&amp;"",""))</f>
        <v/>
      </c>
      <c r="K60" s="0" t="str">
        <f aca="false">IF($A60="","",IFERROR(INDEX(Equipment!$Q$5:$Q$500,MATCH($A60,Equipment!$S$5:$S$500,0))&amp;"",""))</f>
        <v/>
      </c>
    </row>
    <row r="61" customFormat="false" ht="15" hidden="false" customHeight="false" outlineLevel="0" collapsed="false">
      <c r="A61" s="0" t="str">
        <f aca="false">IF(53&gt;$C$6,"",53)</f>
        <v/>
      </c>
      <c r="B61" s="0" t="str">
        <f aca="false">IF($A61="","",IFERROR(INDEX(Equipment!$A$5:$A$500,MATCH($A61,Equipment!$S$5:$S$500,0))&amp;"",""))</f>
        <v/>
      </c>
      <c r="C61" s="0" t="str">
        <f aca="false">IF($A61="","",IFERROR(INDEX(Equipment!$B$5:$B$500,MATCH($A61,Equipment!$S$5:$S$500,0))&amp;"",""))</f>
        <v/>
      </c>
      <c r="D61" s="0" t="str">
        <f aca="false">IF($A61="","",IFERROR(INDEX(Equipment!$E$5:$E$500,MATCH($A61,Equipment!$S$5:$S$500,0))&amp;"",""))</f>
        <v/>
      </c>
      <c r="E61" s="0" t="str">
        <f aca="false">IF($A61="","",IFERROR(INDEX(Equipment!$F$5:$F$500,MATCH($A61,Equipment!$S$5:$S$500,0))&amp;"",""))</f>
        <v/>
      </c>
      <c r="F61" s="0" t="str">
        <f aca="false">IF($A61="","",IFERROR(INDEX(Equipment!$G$5:$G$500,MATCH($A61,Equipment!$S$5:$S$500,0))&amp;"",""))</f>
        <v/>
      </c>
      <c r="G61" s="0" t="str">
        <f aca="false">IF($A61="","",IFERROR(INDEX(Equipment!$H$5:$H$500,MATCH($A61,Equipment!$S$5:$S$500,0))&amp;"",""))</f>
        <v/>
      </c>
      <c r="H61" s="0" t="str">
        <f aca="false">IF($A61="","",IFERROR(INDEX(Equipment!$J$5:$J$500,MATCH($A61,Equipment!$S$5:$S$500,0))&amp;"",""))</f>
        <v/>
      </c>
      <c r="I61" s="0" t="str">
        <f aca="false">IF($A61="","",IFERROR(INDEX(Equipment!$K$5:$K$500,MATCH($A61,Equipment!$S$5:$S$500,0))&amp;"",""))</f>
        <v/>
      </c>
      <c r="J61" s="0" t="str">
        <f aca="false">IF($A61="","",IFERROR(INDEX(Equipment!$L$5:$L$500,MATCH($A61,Equipment!$S$5:$S$500,0))&amp;"",""))</f>
        <v/>
      </c>
      <c r="K61" s="0" t="str">
        <f aca="false">IF($A61="","",IFERROR(INDEX(Equipment!$Q$5:$Q$500,MATCH($A61,Equipment!$S$5:$S$500,0))&amp;"",""))</f>
        <v/>
      </c>
    </row>
    <row r="62" customFormat="false" ht="15" hidden="false" customHeight="false" outlineLevel="0" collapsed="false">
      <c r="A62" s="0" t="str">
        <f aca="false">IF(54&gt;$C$6,"",54)</f>
        <v/>
      </c>
      <c r="B62" s="0" t="str">
        <f aca="false">IF($A62="","",IFERROR(INDEX(Equipment!$A$5:$A$500,MATCH($A62,Equipment!$S$5:$S$500,0))&amp;"",""))</f>
        <v/>
      </c>
      <c r="C62" s="0" t="str">
        <f aca="false">IF($A62="","",IFERROR(INDEX(Equipment!$B$5:$B$500,MATCH($A62,Equipment!$S$5:$S$500,0))&amp;"",""))</f>
        <v/>
      </c>
      <c r="D62" s="0" t="str">
        <f aca="false">IF($A62="","",IFERROR(INDEX(Equipment!$E$5:$E$500,MATCH($A62,Equipment!$S$5:$S$500,0))&amp;"",""))</f>
        <v/>
      </c>
      <c r="E62" s="0" t="str">
        <f aca="false">IF($A62="","",IFERROR(INDEX(Equipment!$F$5:$F$500,MATCH($A62,Equipment!$S$5:$S$500,0))&amp;"",""))</f>
        <v/>
      </c>
      <c r="F62" s="0" t="str">
        <f aca="false">IF($A62="","",IFERROR(INDEX(Equipment!$G$5:$G$500,MATCH($A62,Equipment!$S$5:$S$500,0))&amp;"",""))</f>
        <v/>
      </c>
      <c r="G62" s="0" t="str">
        <f aca="false">IF($A62="","",IFERROR(INDEX(Equipment!$H$5:$H$500,MATCH($A62,Equipment!$S$5:$S$500,0))&amp;"",""))</f>
        <v/>
      </c>
      <c r="H62" s="0" t="str">
        <f aca="false">IF($A62="","",IFERROR(INDEX(Equipment!$J$5:$J$500,MATCH($A62,Equipment!$S$5:$S$500,0))&amp;"",""))</f>
        <v/>
      </c>
      <c r="I62" s="0" t="str">
        <f aca="false">IF($A62="","",IFERROR(INDEX(Equipment!$K$5:$K$500,MATCH($A62,Equipment!$S$5:$S$500,0))&amp;"",""))</f>
        <v/>
      </c>
      <c r="J62" s="0" t="str">
        <f aca="false">IF($A62="","",IFERROR(INDEX(Equipment!$L$5:$L$500,MATCH($A62,Equipment!$S$5:$S$500,0))&amp;"",""))</f>
        <v/>
      </c>
      <c r="K62" s="0" t="str">
        <f aca="false">IF($A62="","",IFERROR(INDEX(Equipment!$Q$5:$Q$500,MATCH($A62,Equipment!$S$5:$S$500,0))&amp;"",""))</f>
        <v/>
      </c>
    </row>
    <row r="63" customFormat="false" ht="15" hidden="false" customHeight="false" outlineLevel="0" collapsed="false">
      <c r="A63" s="0" t="str">
        <f aca="false">IF(55&gt;$C$6,"",55)</f>
        <v/>
      </c>
      <c r="B63" s="0" t="str">
        <f aca="false">IF($A63="","",IFERROR(INDEX(Equipment!$A$5:$A$500,MATCH($A63,Equipment!$S$5:$S$500,0))&amp;"",""))</f>
        <v/>
      </c>
      <c r="C63" s="0" t="str">
        <f aca="false">IF($A63="","",IFERROR(INDEX(Equipment!$B$5:$B$500,MATCH($A63,Equipment!$S$5:$S$500,0))&amp;"",""))</f>
        <v/>
      </c>
      <c r="D63" s="0" t="str">
        <f aca="false">IF($A63="","",IFERROR(INDEX(Equipment!$E$5:$E$500,MATCH($A63,Equipment!$S$5:$S$500,0))&amp;"",""))</f>
        <v/>
      </c>
      <c r="E63" s="0" t="str">
        <f aca="false">IF($A63="","",IFERROR(INDEX(Equipment!$F$5:$F$500,MATCH($A63,Equipment!$S$5:$S$500,0))&amp;"",""))</f>
        <v/>
      </c>
      <c r="F63" s="0" t="str">
        <f aca="false">IF($A63="","",IFERROR(INDEX(Equipment!$G$5:$G$500,MATCH($A63,Equipment!$S$5:$S$500,0))&amp;"",""))</f>
        <v/>
      </c>
      <c r="G63" s="0" t="str">
        <f aca="false">IF($A63="","",IFERROR(INDEX(Equipment!$H$5:$H$500,MATCH($A63,Equipment!$S$5:$S$500,0))&amp;"",""))</f>
        <v/>
      </c>
      <c r="H63" s="0" t="str">
        <f aca="false">IF($A63="","",IFERROR(INDEX(Equipment!$J$5:$J$500,MATCH($A63,Equipment!$S$5:$S$500,0))&amp;"",""))</f>
        <v/>
      </c>
      <c r="I63" s="0" t="str">
        <f aca="false">IF($A63="","",IFERROR(INDEX(Equipment!$K$5:$K$500,MATCH($A63,Equipment!$S$5:$S$500,0))&amp;"",""))</f>
        <v/>
      </c>
      <c r="J63" s="0" t="str">
        <f aca="false">IF($A63="","",IFERROR(INDEX(Equipment!$L$5:$L$500,MATCH($A63,Equipment!$S$5:$S$500,0))&amp;"",""))</f>
        <v/>
      </c>
      <c r="K63" s="0" t="str">
        <f aca="false">IF($A63="","",IFERROR(INDEX(Equipment!$Q$5:$Q$500,MATCH($A63,Equipment!$S$5:$S$500,0))&amp;"",""))</f>
        <v/>
      </c>
    </row>
    <row r="64" customFormat="false" ht="15" hidden="false" customHeight="false" outlineLevel="0" collapsed="false">
      <c r="A64" s="0" t="str">
        <f aca="false">IF(56&gt;$C$6,"",56)</f>
        <v/>
      </c>
      <c r="B64" s="0" t="str">
        <f aca="false">IF($A64="","",IFERROR(INDEX(Equipment!$A$5:$A$500,MATCH($A64,Equipment!$S$5:$S$500,0))&amp;"",""))</f>
        <v/>
      </c>
      <c r="C64" s="0" t="str">
        <f aca="false">IF($A64="","",IFERROR(INDEX(Equipment!$B$5:$B$500,MATCH($A64,Equipment!$S$5:$S$500,0))&amp;"",""))</f>
        <v/>
      </c>
      <c r="D64" s="0" t="str">
        <f aca="false">IF($A64="","",IFERROR(INDEX(Equipment!$E$5:$E$500,MATCH($A64,Equipment!$S$5:$S$500,0))&amp;"",""))</f>
        <v/>
      </c>
      <c r="E64" s="0" t="str">
        <f aca="false">IF($A64="","",IFERROR(INDEX(Equipment!$F$5:$F$500,MATCH($A64,Equipment!$S$5:$S$500,0))&amp;"",""))</f>
        <v/>
      </c>
      <c r="F64" s="0" t="str">
        <f aca="false">IF($A64="","",IFERROR(INDEX(Equipment!$G$5:$G$500,MATCH($A64,Equipment!$S$5:$S$500,0))&amp;"",""))</f>
        <v/>
      </c>
      <c r="G64" s="0" t="str">
        <f aca="false">IF($A64="","",IFERROR(INDEX(Equipment!$H$5:$H$500,MATCH($A64,Equipment!$S$5:$S$500,0))&amp;"",""))</f>
        <v/>
      </c>
      <c r="H64" s="0" t="str">
        <f aca="false">IF($A64="","",IFERROR(INDEX(Equipment!$J$5:$J$500,MATCH($A64,Equipment!$S$5:$S$500,0))&amp;"",""))</f>
        <v/>
      </c>
      <c r="I64" s="0" t="str">
        <f aca="false">IF($A64="","",IFERROR(INDEX(Equipment!$K$5:$K$500,MATCH($A64,Equipment!$S$5:$S$500,0))&amp;"",""))</f>
        <v/>
      </c>
      <c r="J64" s="0" t="str">
        <f aca="false">IF($A64="","",IFERROR(INDEX(Equipment!$L$5:$L$500,MATCH($A64,Equipment!$S$5:$S$500,0))&amp;"",""))</f>
        <v/>
      </c>
      <c r="K64" s="0" t="str">
        <f aca="false">IF($A64="","",IFERROR(INDEX(Equipment!$Q$5:$Q$500,MATCH($A64,Equipment!$S$5:$S$500,0))&amp;"",""))</f>
        <v/>
      </c>
    </row>
    <row r="65" customFormat="false" ht="15" hidden="false" customHeight="false" outlineLevel="0" collapsed="false">
      <c r="A65" s="0" t="str">
        <f aca="false">IF(57&gt;$C$6,"",57)</f>
        <v/>
      </c>
      <c r="B65" s="0" t="str">
        <f aca="false">IF($A65="","",IFERROR(INDEX(Equipment!$A$5:$A$500,MATCH($A65,Equipment!$S$5:$S$500,0))&amp;"",""))</f>
        <v/>
      </c>
      <c r="C65" s="0" t="str">
        <f aca="false">IF($A65="","",IFERROR(INDEX(Equipment!$B$5:$B$500,MATCH($A65,Equipment!$S$5:$S$500,0))&amp;"",""))</f>
        <v/>
      </c>
      <c r="D65" s="0" t="str">
        <f aca="false">IF($A65="","",IFERROR(INDEX(Equipment!$E$5:$E$500,MATCH($A65,Equipment!$S$5:$S$500,0))&amp;"",""))</f>
        <v/>
      </c>
      <c r="E65" s="0" t="str">
        <f aca="false">IF($A65="","",IFERROR(INDEX(Equipment!$F$5:$F$500,MATCH($A65,Equipment!$S$5:$S$500,0))&amp;"",""))</f>
        <v/>
      </c>
      <c r="F65" s="0" t="str">
        <f aca="false">IF($A65="","",IFERROR(INDEX(Equipment!$G$5:$G$500,MATCH($A65,Equipment!$S$5:$S$500,0))&amp;"",""))</f>
        <v/>
      </c>
      <c r="G65" s="0" t="str">
        <f aca="false">IF($A65="","",IFERROR(INDEX(Equipment!$H$5:$H$500,MATCH($A65,Equipment!$S$5:$S$500,0))&amp;"",""))</f>
        <v/>
      </c>
      <c r="H65" s="0" t="str">
        <f aca="false">IF($A65="","",IFERROR(INDEX(Equipment!$J$5:$J$500,MATCH($A65,Equipment!$S$5:$S$500,0))&amp;"",""))</f>
        <v/>
      </c>
      <c r="I65" s="0" t="str">
        <f aca="false">IF($A65="","",IFERROR(INDEX(Equipment!$K$5:$K$500,MATCH($A65,Equipment!$S$5:$S$500,0))&amp;"",""))</f>
        <v/>
      </c>
      <c r="J65" s="0" t="str">
        <f aca="false">IF($A65="","",IFERROR(INDEX(Equipment!$L$5:$L$500,MATCH($A65,Equipment!$S$5:$S$500,0))&amp;"",""))</f>
        <v/>
      </c>
      <c r="K65" s="0" t="str">
        <f aca="false">IF($A65="","",IFERROR(INDEX(Equipment!$Q$5:$Q$500,MATCH($A65,Equipment!$S$5:$S$500,0))&amp;"",""))</f>
        <v/>
      </c>
    </row>
    <row r="66" customFormat="false" ht="15" hidden="false" customHeight="false" outlineLevel="0" collapsed="false">
      <c r="A66" s="0" t="str">
        <f aca="false">IF(58&gt;$C$6,"",58)</f>
        <v/>
      </c>
      <c r="B66" s="0" t="str">
        <f aca="false">IF($A66="","",IFERROR(INDEX(Equipment!$A$5:$A$500,MATCH($A66,Equipment!$S$5:$S$500,0))&amp;"",""))</f>
        <v/>
      </c>
      <c r="C66" s="0" t="str">
        <f aca="false">IF($A66="","",IFERROR(INDEX(Equipment!$B$5:$B$500,MATCH($A66,Equipment!$S$5:$S$500,0))&amp;"",""))</f>
        <v/>
      </c>
      <c r="D66" s="0" t="str">
        <f aca="false">IF($A66="","",IFERROR(INDEX(Equipment!$E$5:$E$500,MATCH($A66,Equipment!$S$5:$S$500,0))&amp;"",""))</f>
        <v/>
      </c>
      <c r="E66" s="0" t="str">
        <f aca="false">IF($A66="","",IFERROR(INDEX(Equipment!$F$5:$F$500,MATCH($A66,Equipment!$S$5:$S$500,0))&amp;"",""))</f>
        <v/>
      </c>
      <c r="F66" s="0" t="str">
        <f aca="false">IF($A66="","",IFERROR(INDEX(Equipment!$G$5:$G$500,MATCH($A66,Equipment!$S$5:$S$500,0))&amp;"",""))</f>
        <v/>
      </c>
      <c r="G66" s="0" t="str">
        <f aca="false">IF($A66="","",IFERROR(INDEX(Equipment!$H$5:$H$500,MATCH($A66,Equipment!$S$5:$S$500,0))&amp;"",""))</f>
        <v/>
      </c>
      <c r="H66" s="0" t="str">
        <f aca="false">IF($A66="","",IFERROR(INDEX(Equipment!$J$5:$J$500,MATCH($A66,Equipment!$S$5:$S$500,0))&amp;"",""))</f>
        <v/>
      </c>
      <c r="I66" s="0" t="str">
        <f aca="false">IF($A66="","",IFERROR(INDEX(Equipment!$K$5:$K$500,MATCH($A66,Equipment!$S$5:$S$500,0))&amp;"",""))</f>
        <v/>
      </c>
      <c r="J66" s="0" t="str">
        <f aca="false">IF($A66="","",IFERROR(INDEX(Equipment!$L$5:$L$500,MATCH($A66,Equipment!$S$5:$S$500,0))&amp;"",""))</f>
        <v/>
      </c>
      <c r="K66" s="0" t="str">
        <f aca="false">IF($A66="","",IFERROR(INDEX(Equipment!$Q$5:$Q$500,MATCH($A66,Equipment!$S$5:$S$500,0))&amp;"",""))</f>
        <v/>
      </c>
    </row>
    <row r="67" customFormat="false" ht="15" hidden="false" customHeight="false" outlineLevel="0" collapsed="false">
      <c r="A67" s="0" t="str">
        <f aca="false">IF(59&gt;$C$6,"",59)</f>
        <v/>
      </c>
      <c r="B67" s="0" t="str">
        <f aca="false">IF($A67="","",IFERROR(INDEX(Equipment!$A$5:$A$500,MATCH($A67,Equipment!$S$5:$S$500,0))&amp;"",""))</f>
        <v/>
      </c>
      <c r="C67" s="0" t="str">
        <f aca="false">IF($A67="","",IFERROR(INDEX(Equipment!$B$5:$B$500,MATCH($A67,Equipment!$S$5:$S$500,0))&amp;"",""))</f>
        <v/>
      </c>
      <c r="D67" s="0" t="str">
        <f aca="false">IF($A67="","",IFERROR(INDEX(Equipment!$E$5:$E$500,MATCH($A67,Equipment!$S$5:$S$500,0))&amp;"",""))</f>
        <v/>
      </c>
      <c r="E67" s="0" t="str">
        <f aca="false">IF($A67="","",IFERROR(INDEX(Equipment!$F$5:$F$500,MATCH($A67,Equipment!$S$5:$S$500,0))&amp;"",""))</f>
        <v/>
      </c>
      <c r="F67" s="0" t="str">
        <f aca="false">IF($A67="","",IFERROR(INDEX(Equipment!$G$5:$G$500,MATCH($A67,Equipment!$S$5:$S$500,0))&amp;"",""))</f>
        <v/>
      </c>
      <c r="G67" s="0" t="str">
        <f aca="false">IF($A67="","",IFERROR(INDEX(Equipment!$H$5:$H$500,MATCH($A67,Equipment!$S$5:$S$500,0))&amp;"",""))</f>
        <v/>
      </c>
      <c r="H67" s="0" t="str">
        <f aca="false">IF($A67="","",IFERROR(INDEX(Equipment!$J$5:$J$500,MATCH($A67,Equipment!$S$5:$S$500,0))&amp;"",""))</f>
        <v/>
      </c>
      <c r="I67" s="0" t="str">
        <f aca="false">IF($A67="","",IFERROR(INDEX(Equipment!$K$5:$K$500,MATCH($A67,Equipment!$S$5:$S$500,0))&amp;"",""))</f>
        <v/>
      </c>
      <c r="J67" s="0" t="str">
        <f aca="false">IF($A67="","",IFERROR(INDEX(Equipment!$L$5:$L$500,MATCH($A67,Equipment!$S$5:$S$500,0))&amp;"",""))</f>
        <v/>
      </c>
      <c r="K67" s="0" t="str">
        <f aca="false">IF($A67="","",IFERROR(INDEX(Equipment!$Q$5:$Q$500,MATCH($A67,Equipment!$S$5:$S$500,0))&amp;"",""))</f>
        <v/>
      </c>
    </row>
    <row r="68" customFormat="false" ht="15" hidden="false" customHeight="false" outlineLevel="0" collapsed="false">
      <c r="A68" s="0" t="str">
        <f aca="false">IF(60&gt;$C$6,"",60)</f>
        <v/>
      </c>
      <c r="B68" s="0" t="str">
        <f aca="false">IF($A68="","",IFERROR(INDEX(Equipment!$A$5:$A$500,MATCH($A68,Equipment!$S$5:$S$500,0))&amp;"",""))</f>
        <v/>
      </c>
      <c r="C68" s="0" t="str">
        <f aca="false">IF($A68="","",IFERROR(INDEX(Equipment!$B$5:$B$500,MATCH($A68,Equipment!$S$5:$S$500,0))&amp;"",""))</f>
        <v/>
      </c>
      <c r="D68" s="0" t="str">
        <f aca="false">IF($A68="","",IFERROR(INDEX(Equipment!$E$5:$E$500,MATCH($A68,Equipment!$S$5:$S$500,0))&amp;"",""))</f>
        <v/>
      </c>
      <c r="E68" s="0" t="str">
        <f aca="false">IF($A68="","",IFERROR(INDEX(Equipment!$F$5:$F$500,MATCH($A68,Equipment!$S$5:$S$500,0))&amp;"",""))</f>
        <v/>
      </c>
      <c r="F68" s="0" t="str">
        <f aca="false">IF($A68="","",IFERROR(INDEX(Equipment!$G$5:$G$500,MATCH($A68,Equipment!$S$5:$S$500,0))&amp;"",""))</f>
        <v/>
      </c>
      <c r="G68" s="0" t="str">
        <f aca="false">IF($A68="","",IFERROR(INDEX(Equipment!$H$5:$H$500,MATCH($A68,Equipment!$S$5:$S$500,0))&amp;"",""))</f>
        <v/>
      </c>
      <c r="H68" s="0" t="str">
        <f aca="false">IF($A68="","",IFERROR(INDEX(Equipment!$J$5:$J$500,MATCH($A68,Equipment!$S$5:$S$500,0))&amp;"",""))</f>
        <v/>
      </c>
      <c r="I68" s="0" t="str">
        <f aca="false">IF($A68="","",IFERROR(INDEX(Equipment!$K$5:$K$500,MATCH($A68,Equipment!$S$5:$S$500,0))&amp;"",""))</f>
        <v/>
      </c>
      <c r="J68" s="0" t="str">
        <f aca="false">IF($A68="","",IFERROR(INDEX(Equipment!$L$5:$L$500,MATCH($A68,Equipment!$S$5:$S$500,0))&amp;"",""))</f>
        <v/>
      </c>
      <c r="K68" s="0" t="str">
        <f aca="false">IF($A68="","",IFERROR(INDEX(Equipment!$Q$5:$Q$500,MATCH($A68,Equipment!$S$5:$S$500,0))&amp;"",""))</f>
        <v/>
      </c>
    </row>
    <row r="69" customFormat="false" ht="15" hidden="false" customHeight="false" outlineLevel="0" collapsed="false">
      <c r="A69" s="0" t="str">
        <f aca="false">IF(61&gt;$C$6,"",61)</f>
        <v/>
      </c>
      <c r="B69" s="0" t="str">
        <f aca="false">IF($A69="","",IFERROR(INDEX(Equipment!$A$5:$A$500,MATCH($A69,Equipment!$S$5:$S$500,0))&amp;"",""))</f>
        <v/>
      </c>
      <c r="C69" s="0" t="str">
        <f aca="false">IF($A69="","",IFERROR(INDEX(Equipment!$B$5:$B$500,MATCH($A69,Equipment!$S$5:$S$500,0))&amp;"",""))</f>
        <v/>
      </c>
      <c r="D69" s="0" t="str">
        <f aca="false">IF($A69="","",IFERROR(INDEX(Equipment!$E$5:$E$500,MATCH($A69,Equipment!$S$5:$S$500,0))&amp;"",""))</f>
        <v/>
      </c>
      <c r="E69" s="0" t="str">
        <f aca="false">IF($A69="","",IFERROR(INDEX(Equipment!$F$5:$F$500,MATCH($A69,Equipment!$S$5:$S$500,0))&amp;"",""))</f>
        <v/>
      </c>
      <c r="F69" s="0" t="str">
        <f aca="false">IF($A69="","",IFERROR(INDEX(Equipment!$G$5:$G$500,MATCH($A69,Equipment!$S$5:$S$500,0))&amp;"",""))</f>
        <v/>
      </c>
      <c r="G69" s="0" t="str">
        <f aca="false">IF($A69="","",IFERROR(INDEX(Equipment!$H$5:$H$500,MATCH($A69,Equipment!$S$5:$S$500,0))&amp;"",""))</f>
        <v/>
      </c>
      <c r="H69" s="0" t="str">
        <f aca="false">IF($A69="","",IFERROR(INDEX(Equipment!$J$5:$J$500,MATCH($A69,Equipment!$S$5:$S$500,0))&amp;"",""))</f>
        <v/>
      </c>
      <c r="I69" s="0" t="str">
        <f aca="false">IF($A69="","",IFERROR(INDEX(Equipment!$K$5:$K$500,MATCH($A69,Equipment!$S$5:$S$500,0))&amp;"",""))</f>
        <v/>
      </c>
      <c r="J69" s="0" t="str">
        <f aca="false">IF($A69="","",IFERROR(INDEX(Equipment!$L$5:$L$500,MATCH($A69,Equipment!$S$5:$S$500,0))&amp;"",""))</f>
        <v/>
      </c>
      <c r="K69" s="0" t="str">
        <f aca="false">IF($A69="","",IFERROR(INDEX(Equipment!$Q$5:$Q$500,MATCH($A69,Equipment!$S$5:$S$500,0))&amp;"",""))</f>
        <v/>
      </c>
    </row>
    <row r="70" customFormat="false" ht="15" hidden="false" customHeight="false" outlineLevel="0" collapsed="false">
      <c r="A70" s="0" t="str">
        <f aca="false">IF(62&gt;$C$6,"",62)</f>
        <v/>
      </c>
      <c r="B70" s="0" t="str">
        <f aca="false">IF($A70="","",IFERROR(INDEX(Equipment!$A$5:$A$500,MATCH($A70,Equipment!$S$5:$S$500,0))&amp;"",""))</f>
        <v/>
      </c>
      <c r="C70" s="0" t="str">
        <f aca="false">IF($A70="","",IFERROR(INDEX(Equipment!$B$5:$B$500,MATCH($A70,Equipment!$S$5:$S$500,0))&amp;"",""))</f>
        <v/>
      </c>
      <c r="D70" s="0" t="str">
        <f aca="false">IF($A70="","",IFERROR(INDEX(Equipment!$E$5:$E$500,MATCH($A70,Equipment!$S$5:$S$500,0))&amp;"",""))</f>
        <v/>
      </c>
      <c r="E70" s="0" t="str">
        <f aca="false">IF($A70="","",IFERROR(INDEX(Equipment!$F$5:$F$500,MATCH($A70,Equipment!$S$5:$S$500,0))&amp;"",""))</f>
        <v/>
      </c>
      <c r="F70" s="0" t="str">
        <f aca="false">IF($A70="","",IFERROR(INDEX(Equipment!$G$5:$G$500,MATCH($A70,Equipment!$S$5:$S$500,0))&amp;"",""))</f>
        <v/>
      </c>
      <c r="G70" s="0" t="str">
        <f aca="false">IF($A70="","",IFERROR(INDEX(Equipment!$H$5:$H$500,MATCH($A70,Equipment!$S$5:$S$500,0))&amp;"",""))</f>
        <v/>
      </c>
      <c r="H70" s="0" t="str">
        <f aca="false">IF($A70="","",IFERROR(INDEX(Equipment!$J$5:$J$500,MATCH($A70,Equipment!$S$5:$S$500,0))&amp;"",""))</f>
        <v/>
      </c>
      <c r="I70" s="0" t="str">
        <f aca="false">IF($A70="","",IFERROR(INDEX(Equipment!$K$5:$K$500,MATCH($A70,Equipment!$S$5:$S$500,0))&amp;"",""))</f>
        <v/>
      </c>
      <c r="J70" s="0" t="str">
        <f aca="false">IF($A70="","",IFERROR(INDEX(Equipment!$L$5:$L$500,MATCH($A70,Equipment!$S$5:$S$500,0))&amp;"",""))</f>
        <v/>
      </c>
      <c r="K70" s="0" t="str">
        <f aca="false">IF($A70="","",IFERROR(INDEX(Equipment!$Q$5:$Q$500,MATCH($A70,Equipment!$S$5:$S$500,0))&amp;"",""))</f>
        <v/>
      </c>
    </row>
    <row r="71" customFormat="false" ht="15" hidden="false" customHeight="false" outlineLevel="0" collapsed="false">
      <c r="A71" s="0" t="str">
        <f aca="false">IF(63&gt;$C$6,"",63)</f>
        <v/>
      </c>
      <c r="B71" s="0" t="str">
        <f aca="false">IF($A71="","",IFERROR(INDEX(Equipment!$A$5:$A$500,MATCH($A71,Equipment!$S$5:$S$500,0))&amp;"",""))</f>
        <v/>
      </c>
      <c r="C71" s="0" t="str">
        <f aca="false">IF($A71="","",IFERROR(INDEX(Equipment!$B$5:$B$500,MATCH($A71,Equipment!$S$5:$S$500,0))&amp;"",""))</f>
        <v/>
      </c>
      <c r="D71" s="0" t="str">
        <f aca="false">IF($A71="","",IFERROR(INDEX(Equipment!$E$5:$E$500,MATCH($A71,Equipment!$S$5:$S$500,0))&amp;"",""))</f>
        <v/>
      </c>
      <c r="E71" s="0" t="str">
        <f aca="false">IF($A71="","",IFERROR(INDEX(Equipment!$F$5:$F$500,MATCH($A71,Equipment!$S$5:$S$500,0))&amp;"",""))</f>
        <v/>
      </c>
      <c r="F71" s="0" t="str">
        <f aca="false">IF($A71="","",IFERROR(INDEX(Equipment!$G$5:$G$500,MATCH($A71,Equipment!$S$5:$S$500,0))&amp;"",""))</f>
        <v/>
      </c>
      <c r="G71" s="0" t="str">
        <f aca="false">IF($A71="","",IFERROR(INDEX(Equipment!$H$5:$H$500,MATCH($A71,Equipment!$S$5:$S$500,0))&amp;"",""))</f>
        <v/>
      </c>
      <c r="H71" s="0" t="str">
        <f aca="false">IF($A71="","",IFERROR(INDEX(Equipment!$J$5:$J$500,MATCH($A71,Equipment!$S$5:$S$500,0))&amp;"",""))</f>
        <v/>
      </c>
      <c r="I71" s="0" t="str">
        <f aca="false">IF($A71="","",IFERROR(INDEX(Equipment!$K$5:$K$500,MATCH($A71,Equipment!$S$5:$S$500,0))&amp;"",""))</f>
        <v/>
      </c>
      <c r="J71" s="0" t="str">
        <f aca="false">IF($A71="","",IFERROR(INDEX(Equipment!$L$5:$L$500,MATCH($A71,Equipment!$S$5:$S$500,0))&amp;"",""))</f>
        <v/>
      </c>
      <c r="K71" s="0" t="str">
        <f aca="false">IF($A71="","",IFERROR(INDEX(Equipment!$Q$5:$Q$500,MATCH($A71,Equipment!$S$5:$S$500,0))&amp;"",""))</f>
        <v/>
      </c>
    </row>
    <row r="72" customFormat="false" ht="15" hidden="false" customHeight="false" outlineLevel="0" collapsed="false">
      <c r="A72" s="0" t="str">
        <f aca="false">IF(64&gt;$C$6,"",64)</f>
        <v/>
      </c>
      <c r="B72" s="0" t="str">
        <f aca="false">IF($A72="","",IFERROR(INDEX(Equipment!$A$5:$A$500,MATCH($A72,Equipment!$S$5:$S$500,0))&amp;"",""))</f>
        <v/>
      </c>
      <c r="C72" s="0" t="str">
        <f aca="false">IF($A72="","",IFERROR(INDEX(Equipment!$B$5:$B$500,MATCH($A72,Equipment!$S$5:$S$500,0))&amp;"",""))</f>
        <v/>
      </c>
      <c r="D72" s="0" t="str">
        <f aca="false">IF($A72="","",IFERROR(INDEX(Equipment!$E$5:$E$500,MATCH($A72,Equipment!$S$5:$S$500,0))&amp;"",""))</f>
        <v/>
      </c>
      <c r="E72" s="0" t="str">
        <f aca="false">IF($A72="","",IFERROR(INDEX(Equipment!$F$5:$F$500,MATCH($A72,Equipment!$S$5:$S$500,0))&amp;"",""))</f>
        <v/>
      </c>
      <c r="F72" s="0" t="str">
        <f aca="false">IF($A72="","",IFERROR(INDEX(Equipment!$G$5:$G$500,MATCH($A72,Equipment!$S$5:$S$500,0))&amp;"",""))</f>
        <v/>
      </c>
      <c r="G72" s="0" t="str">
        <f aca="false">IF($A72="","",IFERROR(INDEX(Equipment!$H$5:$H$500,MATCH($A72,Equipment!$S$5:$S$500,0))&amp;"",""))</f>
        <v/>
      </c>
      <c r="H72" s="0" t="str">
        <f aca="false">IF($A72="","",IFERROR(INDEX(Equipment!$J$5:$J$500,MATCH($A72,Equipment!$S$5:$S$500,0))&amp;"",""))</f>
        <v/>
      </c>
      <c r="I72" s="0" t="str">
        <f aca="false">IF($A72="","",IFERROR(INDEX(Equipment!$K$5:$K$500,MATCH($A72,Equipment!$S$5:$S$500,0))&amp;"",""))</f>
        <v/>
      </c>
      <c r="J72" s="0" t="str">
        <f aca="false">IF($A72="","",IFERROR(INDEX(Equipment!$L$5:$L$500,MATCH($A72,Equipment!$S$5:$S$500,0))&amp;"",""))</f>
        <v/>
      </c>
      <c r="K72" s="0" t="str">
        <f aca="false">IF($A72="","",IFERROR(INDEX(Equipment!$Q$5:$Q$500,MATCH($A72,Equipment!$S$5:$S$500,0))&amp;"",""))</f>
        <v/>
      </c>
    </row>
    <row r="73" customFormat="false" ht="15" hidden="false" customHeight="false" outlineLevel="0" collapsed="false">
      <c r="A73" s="0" t="str">
        <f aca="false">IF(65&gt;$C$6,"",65)</f>
        <v/>
      </c>
      <c r="B73" s="0" t="str">
        <f aca="false">IF($A73="","",IFERROR(INDEX(Equipment!$A$5:$A$500,MATCH($A73,Equipment!$S$5:$S$500,0))&amp;"",""))</f>
        <v/>
      </c>
      <c r="C73" s="0" t="str">
        <f aca="false">IF($A73="","",IFERROR(INDEX(Equipment!$B$5:$B$500,MATCH($A73,Equipment!$S$5:$S$500,0))&amp;"",""))</f>
        <v/>
      </c>
      <c r="D73" s="0" t="str">
        <f aca="false">IF($A73="","",IFERROR(INDEX(Equipment!$E$5:$E$500,MATCH($A73,Equipment!$S$5:$S$500,0))&amp;"",""))</f>
        <v/>
      </c>
      <c r="E73" s="0" t="str">
        <f aca="false">IF($A73="","",IFERROR(INDEX(Equipment!$F$5:$F$500,MATCH($A73,Equipment!$S$5:$S$500,0))&amp;"",""))</f>
        <v/>
      </c>
      <c r="F73" s="0" t="str">
        <f aca="false">IF($A73="","",IFERROR(INDEX(Equipment!$G$5:$G$500,MATCH($A73,Equipment!$S$5:$S$500,0))&amp;"",""))</f>
        <v/>
      </c>
      <c r="G73" s="0" t="str">
        <f aca="false">IF($A73="","",IFERROR(INDEX(Equipment!$H$5:$H$500,MATCH($A73,Equipment!$S$5:$S$500,0))&amp;"",""))</f>
        <v/>
      </c>
      <c r="H73" s="0" t="str">
        <f aca="false">IF($A73="","",IFERROR(INDEX(Equipment!$J$5:$J$500,MATCH($A73,Equipment!$S$5:$S$500,0))&amp;"",""))</f>
        <v/>
      </c>
      <c r="I73" s="0" t="str">
        <f aca="false">IF($A73="","",IFERROR(INDEX(Equipment!$K$5:$K$500,MATCH($A73,Equipment!$S$5:$S$500,0))&amp;"",""))</f>
        <v/>
      </c>
      <c r="J73" s="0" t="str">
        <f aca="false">IF($A73="","",IFERROR(INDEX(Equipment!$L$5:$L$500,MATCH($A73,Equipment!$S$5:$S$500,0))&amp;"",""))</f>
        <v/>
      </c>
      <c r="K73" s="0" t="str">
        <f aca="false">IF($A73="","",IFERROR(INDEX(Equipment!$Q$5:$Q$500,MATCH($A73,Equipment!$S$5:$S$500,0))&amp;"",""))</f>
        <v/>
      </c>
    </row>
    <row r="74" customFormat="false" ht="15" hidden="false" customHeight="false" outlineLevel="0" collapsed="false">
      <c r="A74" s="0" t="str">
        <f aca="false">IF(66&gt;$C$6,"",66)</f>
        <v/>
      </c>
      <c r="B74" s="0" t="str">
        <f aca="false">IF($A74="","",IFERROR(INDEX(Equipment!$A$5:$A$500,MATCH($A74,Equipment!$S$5:$S$500,0))&amp;"",""))</f>
        <v/>
      </c>
      <c r="C74" s="0" t="str">
        <f aca="false">IF($A74="","",IFERROR(INDEX(Equipment!$B$5:$B$500,MATCH($A74,Equipment!$S$5:$S$500,0))&amp;"",""))</f>
        <v/>
      </c>
      <c r="D74" s="0" t="str">
        <f aca="false">IF($A74="","",IFERROR(INDEX(Equipment!$E$5:$E$500,MATCH($A74,Equipment!$S$5:$S$500,0))&amp;"",""))</f>
        <v/>
      </c>
      <c r="E74" s="0" t="str">
        <f aca="false">IF($A74="","",IFERROR(INDEX(Equipment!$F$5:$F$500,MATCH($A74,Equipment!$S$5:$S$500,0))&amp;"",""))</f>
        <v/>
      </c>
      <c r="F74" s="0" t="str">
        <f aca="false">IF($A74="","",IFERROR(INDEX(Equipment!$G$5:$G$500,MATCH($A74,Equipment!$S$5:$S$500,0))&amp;"",""))</f>
        <v/>
      </c>
      <c r="G74" s="0" t="str">
        <f aca="false">IF($A74="","",IFERROR(INDEX(Equipment!$H$5:$H$500,MATCH($A74,Equipment!$S$5:$S$500,0))&amp;"",""))</f>
        <v/>
      </c>
      <c r="H74" s="0" t="str">
        <f aca="false">IF($A74="","",IFERROR(INDEX(Equipment!$J$5:$J$500,MATCH($A74,Equipment!$S$5:$S$500,0))&amp;"",""))</f>
        <v/>
      </c>
      <c r="I74" s="0" t="str">
        <f aca="false">IF($A74="","",IFERROR(INDEX(Equipment!$K$5:$K$500,MATCH($A74,Equipment!$S$5:$S$500,0))&amp;"",""))</f>
        <v/>
      </c>
      <c r="J74" s="0" t="str">
        <f aca="false">IF($A74="","",IFERROR(INDEX(Equipment!$L$5:$L$500,MATCH($A74,Equipment!$S$5:$S$500,0))&amp;"",""))</f>
        <v/>
      </c>
      <c r="K74" s="0" t="str">
        <f aca="false">IF($A74="","",IFERROR(INDEX(Equipment!$Q$5:$Q$500,MATCH($A74,Equipment!$S$5:$S$500,0))&amp;"",""))</f>
        <v/>
      </c>
    </row>
    <row r="75" customFormat="false" ht="15" hidden="false" customHeight="false" outlineLevel="0" collapsed="false">
      <c r="A75" s="0" t="str">
        <f aca="false">IF(67&gt;$C$6,"",67)</f>
        <v/>
      </c>
      <c r="B75" s="0" t="str">
        <f aca="false">IF($A75="","",IFERROR(INDEX(Equipment!$A$5:$A$500,MATCH($A75,Equipment!$S$5:$S$500,0))&amp;"",""))</f>
        <v/>
      </c>
      <c r="C75" s="0" t="str">
        <f aca="false">IF($A75="","",IFERROR(INDEX(Equipment!$B$5:$B$500,MATCH($A75,Equipment!$S$5:$S$500,0))&amp;"",""))</f>
        <v/>
      </c>
      <c r="D75" s="0" t="str">
        <f aca="false">IF($A75="","",IFERROR(INDEX(Equipment!$E$5:$E$500,MATCH($A75,Equipment!$S$5:$S$500,0))&amp;"",""))</f>
        <v/>
      </c>
      <c r="E75" s="0" t="str">
        <f aca="false">IF($A75="","",IFERROR(INDEX(Equipment!$F$5:$F$500,MATCH($A75,Equipment!$S$5:$S$500,0))&amp;"",""))</f>
        <v/>
      </c>
      <c r="F75" s="0" t="str">
        <f aca="false">IF($A75="","",IFERROR(INDEX(Equipment!$G$5:$G$500,MATCH($A75,Equipment!$S$5:$S$500,0))&amp;"",""))</f>
        <v/>
      </c>
      <c r="G75" s="0" t="str">
        <f aca="false">IF($A75="","",IFERROR(INDEX(Equipment!$H$5:$H$500,MATCH($A75,Equipment!$S$5:$S$500,0))&amp;"",""))</f>
        <v/>
      </c>
      <c r="H75" s="0" t="str">
        <f aca="false">IF($A75="","",IFERROR(INDEX(Equipment!$J$5:$J$500,MATCH($A75,Equipment!$S$5:$S$500,0))&amp;"",""))</f>
        <v/>
      </c>
      <c r="I75" s="0" t="str">
        <f aca="false">IF($A75="","",IFERROR(INDEX(Equipment!$K$5:$K$500,MATCH($A75,Equipment!$S$5:$S$500,0))&amp;"",""))</f>
        <v/>
      </c>
      <c r="J75" s="0" t="str">
        <f aca="false">IF($A75="","",IFERROR(INDEX(Equipment!$L$5:$L$500,MATCH($A75,Equipment!$S$5:$S$500,0))&amp;"",""))</f>
        <v/>
      </c>
      <c r="K75" s="0" t="str">
        <f aca="false">IF($A75="","",IFERROR(INDEX(Equipment!$Q$5:$Q$500,MATCH($A75,Equipment!$S$5:$S$500,0))&amp;"",""))</f>
        <v/>
      </c>
    </row>
    <row r="76" customFormat="false" ht="15" hidden="false" customHeight="false" outlineLevel="0" collapsed="false">
      <c r="A76" s="0" t="str">
        <f aca="false">IF(68&gt;$C$6,"",68)</f>
        <v/>
      </c>
      <c r="B76" s="0" t="str">
        <f aca="false">IF($A76="","",IFERROR(INDEX(Equipment!$A$5:$A$500,MATCH($A76,Equipment!$S$5:$S$500,0))&amp;"",""))</f>
        <v/>
      </c>
      <c r="C76" s="0" t="str">
        <f aca="false">IF($A76="","",IFERROR(INDEX(Equipment!$B$5:$B$500,MATCH($A76,Equipment!$S$5:$S$500,0))&amp;"",""))</f>
        <v/>
      </c>
      <c r="D76" s="0" t="str">
        <f aca="false">IF($A76="","",IFERROR(INDEX(Equipment!$E$5:$E$500,MATCH($A76,Equipment!$S$5:$S$500,0))&amp;"",""))</f>
        <v/>
      </c>
      <c r="E76" s="0" t="str">
        <f aca="false">IF($A76="","",IFERROR(INDEX(Equipment!$F$5:$F$500,MATCH($A76,Equipment!$S$5:$S$500,0))&amp;"",""))</f>
        <v/>
      </c>
      <c r="F76" s="0" t="str">
        <f aca="false">IF($A76="","",IFERROR(INDEX(Equipment!$G$5:$G$500,MATCH($A76,Equipment!$S$5:$S$500,0))&amp;"",""))</f>
        <v/>
      </c>
      <c r="G76" s="0" t="str">
        <f aca="false">IF($A76="","",IFERROR(INDEX(Equipment!$H$5:$H$500,MATCH($A76,Equipment!$S$5:$S$500,0))&amp;"",""))</f>
        <v/>
      </c>
      <c r="H76" s="0" t="str">
        <f aca="false">IF($A76="","",IFERROR(INDEX(Equipment!$J$5:$J$500,MATCH($A76,Equipment!$S$5:$S$500,0))&amp;"",""))</f>
        <v/>
      </c>
      <c r="I76" s="0" t="str">
        <f aca="false">IF($A76="","",IFERROR(INDEX(Equipment!$K$5:$K$500,MATCH($A76,Equipment!$S$5:$S$500,0))&amp;"",""))</f>
        <v/>
      </c>
      <c r="J76" s="0" t="str">
        <f aca="false">IF($A76="","",IFERROR(INDEX(Equipment!$L$5:$L$500,MATCH($A76,Equipment!$S$5:$S$500,0))&amp;"",""))</f>
        <v/>
      </c>
      <c r="K76" s="0" t="str">
        <f aca="false">IF($A76="","",IFERROR(INDEX(Equipment!$Q$5:$Q$500,MATCH($A76,Equipment!$S$5:$S$500,0))&amp;"",""))</f>
        <v/>
      </c>
    </row>
    <row r="77" customFormat="false" ht="15" hidden="false" customHeight="false" outlineLevel="0" collapsed="false">
      <c r="A77" s="0" t="str">
        <f aca="false">IF(69&gt;$C$6,"",69)</f>
        <v/>
      </c>
      <c r="B77" s="0" t="str">
        <f aca="false">IF($A77="","",IFERROR(INDEX(Equipment!$A$5:$A$500,MATCH($A77,Equipment!$S$5:$S$500,0))&amp;"",""))</f>
        <v/>
      </c>
      <c r="C77" s="0" t="str">
        <f aca="false">IF($A77="","",IFERROR(INDEX(Equipment!$B$5:$B$500,MATCH($A77,Equipment!$S$5:$S$500,0))&amp;"",""))</f>
        <v/>
      </c>
      <c r="D77" s="0" t="str">
        <f aca="false">IF($A77="","",IFERROR(INDEX(Equipment!$E$5:$E$500,MATCH($A77,Equipment!$S$5:$S$500,0))&amp;"",""))</f>
        <v/>
      </c>
      <c r="E77" s="0" t="str">
        <f aca="false">IF($A77="","",IFERROR(INDEX(Equipment!$F$5:$F$500,MATCH($A77,Equipment!$S$5:$S$500,0))&amp;"",""))</f>
        <v/>
      </c>
      <c r="F77" s="0" t="str">
        <f aca="false">IF($A77="","",IFERROR(INDEX(Equipment!$G$5:$G$500,MATCH($A77,Equipment!$S$5:$S$500,0))&amp;"",""))</f>
        <v/>
      </c>
      <c r="G77" s="0" t="str">
        <f aca="false">IF($A77="","",IFERROR(INDEX(Equipment!$H$5:$H$500,MATCH($A77,Equipment!$S$5:$S$500,0))&amp;"",""))</f>
        <v/>
      </c>
      <c r="H77" s="0" t="str">
        <f aca="false">IF($A77="","",IFERROR(INDEX(Equipment!$J$5:$J$500,MATCH($A77,Equipment!$S$5:$S$500,0))&amp;"",""))</f>
        <v/>
      </c>
      <c r="I77" s="0" t="str">
        <f aca="false">IF($A77="","",IFERROR(INDEX(Equipment!$K$5:$K$500,MATCH($A77,Equipment!$S$5:$S$500,0))&amp;"",""))</f>
        <v/>
      </c>
      <c r="J77" s="0" t="str">
        <f aca="false">IF($A77="","",IFERROR(INDEX(Equipment!$L$5:$L$500,MATCH($A77,Equipment!$S$5:$S$500,0))&amp;"",""))</f>
        <v/>
      </c>
      <c r="K77" s="0" t="str">
        <f aca="false">IF($A77="","",IFERROR(INDEX(Equipment!$Q$5:$Q$500,MATCH($A77,Equipment!$S$5:$S$500,0))&amp;"",""))</f>
        <v/>
      </c>
    </row>
    <row r="78" customFormat="false" ht="15" hidden="false" customHeight="false" outlineLevel="0" collapsed="false">
      <c r="A78" s="0" t="str">
        <f aca="false">IF(70&gt;$C$6,"",70)</f>
        <v/>
      </c>
      <c r="B78" s="0" t="str">
        <f aca="false">IF($A78="","",IFERROR(INDEX(Equipment!$A$5:$A$500,MATCH($A78,Equipment!$S$5:$S$500,0))&amp;"",""))</f>
        <v/>
      </c>
      <c r="C78" s="0" t="str">
        <f aca="false">IF($A78="","",IFERROR(INDEX(Equipment!$B$5:$B$500,MATCH($A78,Equipment!$S$5:$S$500,0))&amp;"",""))</f>
        <v/>
      </c>
      <c r="D78" s="0" t="str">
        <f aca="false">IF($A78="","",IFERROR(INDEX(Equipment!$E$5:$E$500,MATCH($A78,Equipment!$S$5:$S$500,0))&amp;"",""))</f>
        <v/>
      </c>
      <c r="E78" s="0" t="str">
        <f aca="false">IF($A78="","",IFERROR(INDEX(Equipment!$F$5:$F$500,MATCH($A78,Equipment!$S$5:$S$500,0))&amp;"",""))</f>
        <v/>
      </c>
      <c r="F78" s="0" t="str">
        <f aca="false">IF($A78="","",IFERROR(INDEX(Equipment!$G$5:$G$500,MATCH($A78,Equipment!$S$5:$S$500,0))&amp;"",""))</f>
        <v/>
      </c>
      <c r="G78" s="0" t="str">
        <f aca="false">IF($A78="","",IFERROR(INDEX(Equipment!$H$5:$H$500,MATCH($A78,Equipment!$S$5:$S$500,0))&amp;"",""))</f>
        <v/>
      </c>
      <c r="H78" s="0" t="str">
        <f aca="false">IF($A78="","",IFERROR(INDEX(Equipment!$J$5:$J$500,MATCH($A78,Equipment!$S$5:$S$500,0))&amp;"",""))</f>
        <v/>
      </c>
      <c r="I78" s="0" t="str">
        <f aca="false">IF($A78="","",IFERROR(INDEX(Equipment!$K$5:$K$500,MATCH($A78,Equipment!$S$5:$S$500,0))&amp;"",""))</f>
        <v/>
      </c>
      <c r="J78" s="0" t="str">
        <f aca="false">IF($A78="","",IFERROR(INDEX(Equipment!$L$5:$L$500,MATCH($A78,Equipment!$S$5:$S$500,0))&amp;"",""))</f>
        <v/>
      </c>
      <c r="K78" s="0" t="str">
        <f aca="false">IF($A78="","",IFERROR(INDEX(Equipment!$Q$5:$Q$500,MATCH($A78,Equipment!$S$5:$S$500,0))&amp;"",""))</f>
        <v/>
      </c>
    </row>
    <row r="79" customFormat="false" ht="15" hidden="false" customHeight="false" outlineLevel="0" collapsed="false">
      <c r="A79" s="0" t="str">
        <f aca="false">IF(71&gt;$C$6,"",71)</f>
        <v/>
      </c>
      <c r="B79" s="0" t="str">
        <f aca="false">IF($A79="","",IFERROR(INDEX(Equipment!$A$5:$A$500,MATCH($A79,Equipment!$S$5:$S$500,0))&amp;"",""))</f>
        <v/>
      </c>
      <c r="C79" s="0" t="str">
        <f aca="false">IF($A79="","",IFERROR(INDEX(Equipment!$B$5:$B$500,MATCH($A79,Equipment!$S$5:$S$500,0))&amp;"",""))</f>
        <v/>
      </c>
      <c r="D79" s="0" t="str">
        <f aca="false">IF($A79="","",IFERROR(INDEX(Equipment!$E$5:$E$500,MATCH($A79,Equipment!$S$5:$S$500,0))&amp;"",""))</f>
        <v/>
      </c>
      <c r="E79" s="0" t="str">
        <f aca="false">IF($A79="","",IFERROR(INDEX(Equipment!$F$5:$F$500,MATCH($A79,Equipment!$S$5:$S$500,0))&amp;"",""))</f>
        <v/>
      </c>
      <c r="F79" s="0" t="str">
        <f aca="false">IF($A79="","",IFERROR(INDEX(Equipment!$G$5:$G$500,MATCH($A79,Equipment!$S$5:$S$500,0))&amp;"",""))</f>
        <v/>
      </c>
      <c r="G79" s="0" t="str">
        <f aca="false">IF($A79="","",IFERROR(INDEX(Equipment!$H$5:$H$500,MATCH($A79,Equipment!$S$5:$S$500,0))&amp;"",""))</f>
        <v/>
      </c>
      <c r="H79" s="0" t="str">
        <f aca="false">IF($A79="","",IFERROR(INDEX(Equipment!$J$5:$J$500,MATCH($A79,Equipment!$S$5:$S$500,0))&amp;"",""))</f>
        <v/>
      </c>
      <c r="I79" s="0" t="str">
        <f aca="false">IF($A79="","",IFERROR(INDEX(Equipment!$K$5:$K$500,MATCH($A79,Equipment!$S$5:$S$500,0))&amp;"",""))</f>
        <v/>
      </c>
      <c r="J79" s="0" t="str">
        <f aca="false">IF($A79="","",IFERROR(INDEX(Equipment!$L$5:$L$500,MATCH($A79,Equipment!$S$5:$S$500,0))&amp;"",""))</f>
        <v/>
      </c>
      <c r="K79" s="0" t="str">
        <f aca="false">IF($A79="","",IFERROR(INDEX(Equipment!$Q$5:$Q$500,MATCH($A79,Equipment!$S$5:$S$500,0))&amp;"",""))</f>
        <v/>
      </c>
    </row>
    <row r="80" customFormat="false" ht="15" hidden="false" customHeight="false" outlineLevel="0" collapsed="false">
      <c r="A80" s="0" t="str">
        <f aca="false">IF(72&gt;$C$6,"",72)</f>
        <v/>
      </c>
      <c r="B80" s="0" t="str">
        <f aca="false">IF($A80="","",IFERROR(INDEX(Equipment!$A$5:$A$500,MATCH($A80,Equipment!$S$5:$S$500,0))&amp;"",""))</f>
        <v/>
      </c>
      <c r="C80" s="0" t="str">
        <f aca="false">IF($A80="","",IFERROR(INDEX(Equipment!$B$5:$B$500,MATCH($A80,Equipment!$S$5:$S$500,0))&amp;"",""))</f>
        <v/>
      </c>
      <c r="D80" s="0" t="str">
        <f aca="false">IF($A80="","",IFERROR(INDEX(Equipment!$E$5:$E$500,MATCH($A80,Equipment!$S$5:$S$500,0))&amp;"",""))</f>
        <v/>
      </c>
      <c r="E80" s="0" t="str">
        <f aca="false">IF($A80="","",IFERROR(INDEX(Equipment!$F$5:$F$500,MATCH($A80,Equipment!$S$5:$S$500,0))&amp;"",""))</f>
        <v/>
      </c>
      <c r="F80" s="0" t="str">
        <f aca="false">IF($A80="","",IFERROR(INDEX(Equipment!$G$5:$G$500,MATCH($A80,Equipment!$S$5:$S$500,0))&amp;"",""))</f>
        <v/>
      </c>
      <c r="G80" s="0" t="str">
        <f aca="false">IF($A80="","",IFERROR(INDEX(Equipment!$H$5:$H$500,MATCH($A80,Equipment!$S$5:$S$500,0))&amp;"",""))</f>
        <v/>
      </c>
      <c r="H80" s="0" t="str">
        <f aca="false">IF($A80="","",IFERROR(INDEX(Equipment!$J$5:$J$500,MATCH($A80,Equipment!$S$5:$S$500,0))&amp;"",""))</f>
        <v/>
      </c>
      <c r="I80" s="0" t="str">
        <f aca="false">IF($A80="","",IFERROR(INDEX(Equipment!$K$5:$K$500,MATCH($A80,Equipment!$S$5:$S$500,0))&amp;"",""))</f>
        <v/>
      </c>
      <c r="J80" s="0" t="str">
        <f aca="false">IF($A80="","",IFERROR(INDEX(Equipment!$L$5:$L$500,MATCH($A80,Equipment!$S$5:$S$500,0))&amp;"",""))</f>
        <v/>
      </c>
      <c r="K80" s="0" t="str">
        <f aca="false">IF($A80="","",IFERROR(INDEX(Equipment!$Q$5:$Q$500,MATCH($A80,Equipment!$S$5:$S$500,0))&amp;"",""))</f>
        <v/>
      </c>
    </row>
    <row r="81" customFormat="false" ht="15" hidden="false" customHeight="false" outlineLevel="0" collapsed="false">
      <c r="A81" s="0" t="str">
        <f aca="false">IF(73&gt;$C$6,"",73)</f>
        <v/>
      </c>
      <c r="B81" s="0" t="str">
        <f aca="false">IF($A81="","",IFERROR(INDEX(Equipment!$A$5:$A$500,MATCH($A81,Equipment!$S$5:$S$500,0))&amp;"",""))</f>
        <v/>
      </c>
      <c r="C81" s="0" t="str">
        <f aca="false">IF($A81="","",IFERROR(INDEX(Equipment!$B$5:$B$500,MATCH($A81,Equipment!$S$5:$S$500,0))&amp;"",""))</f>
        <v/>
      </c>
      <c r="D81" s="0" t="str">
        <f aca="false">IF($A81="","",IFERROR(INDEX(Equipment!$E$5:$E$500,MATCH($A81,Equipment!$S$5:$S$500,0))&amp;"",""))</f>
        <v/>
      </c>
      <c r="E81" s="0" t="str">
        <f aca="false">IF($A81="","",IFERROR(INDEX(Equipment!$F$5:$F$500,MATCH($A81,Equipment!$S$5:$S$500,0))&amp;"",""))</f>
        <v/>
      </c>
      <c r="F81" s="0" t="str">
        <f aca="false">IF($A81="","",IFERROR(INDEX(Equipment!$G$5:$G$500,MATCH($A81,Equipment!$S$5:$S$500,0))&amp;"",""))</f>
        <v/>
      </c>
      <c r="G81" s="0" t="str">
        <f aca="false">IF($A81="","",IFERROR(INDEX(Equipment!$H$5:$H$500,MATCH($A81,Equipment!$S$5:$S$500,0))&amp;"",""))</f>
        <v/>
      </c>
      <c r="H81" s="0" t="str">
        <f aca="false">IF($A81="","",IFERROR(INDEX(Equipment!$J$5:$J$500,MATCH($A81,Equipment!$S$5:$S$500,0))&amp;"",""))</f>
        <v/>
      </c>
      <c r="I81" s="0" t="str">
        <f aca="false">IF($A81="","",IFERROR(INDEX(Equipment!$K$5:$K$500,MATCH($A81,Equipment!$S$5:$S$500,0))&amp;"",""))</f>
        <v/>
      </c>
      <c r="J81" s="0" t="str">
        <f aca="false">IF($A81="","",IFERROR(INDEX(Equipment!$L$5:$L$500,MATCH($A81,Equipment!$S$5:$S$500,0))&amp;"",""))</f>
        <v/>
      </c>
      <c r="K81" s="0" t="str">
        <f aca="false">IF($A81="","",IFERROR(INDEX(Equipment!$Q$5:$Q$500,MATCH($A81,Equipment!$S$5:$S$500,0))&amp;"",""))</f>
        <v/>
      </c>
    </row>
    <row r="82" customFormat="false" ht="15" hidden="false" customHeight="false" outlineLevel="0" collapsed="false">
      <c r="A82" s="0" t="str">
        <f aca="false">IF(74&gt;$C$6,"",74)</f>
        <v/>
      </c>
      <c r="B82" s="0" t="str">
        <f aca="false">IF($A82="","",IFERROR(INDEX(Equipment!$A$5:$A$500,MATCH($A82,Equipment!$S$5:$S$500,0))&amp;"",""))</f>
        <v/>
      </c>
      <c r="C82" s="0" t="str">
        <f aca="false">IF($A82="","",IFERROR(INDEX(Equipment!$B$5:$B$500,MATCH($A82,Equipment!$S$5:$S$500,0))&amp;"",""))</f>
        <v/>
      </c>
      <c r="D82" s="0" t="str">
        <f aca="false">IF($A82="","",IFERROR(INDEX(Equipment!$E$5:$E$500,MATCH($A82,Equipment!$S$5:$S$500,0))&amp;"",""))</f>
        <v/>
      </c>
      <c r="E82" s="0" t="str">
        <f aca="false">IF($A82="","",IFERROR(INDEX(Equipment!$F$5:$F$500,MATCH($A82,Equipment!$S$5:$S$500,0))&amp;"",""))</f>
        <v/>
      </c>
      <c r="F82" s="0" t="str">
        <f aca="false">IF($A82="","",IFERROR(INDEX(Equipment!$G$5:$G$500,MATCH($A82,Equipment!$S$5:$S$500,0))&amp;"",""))</f>
        <v/>
      </c>
      <c r="G82" s="0" t="str">
        <f aca="false">IF($A82="","",IFERROR(INDEX(Equipment!$H$5:$H$500,MATCH($A82,Equipment!$S$5:$S$500,0))&amp;"",""))</f>
        <v/>
      </c>
      <c r="H82" s="0" t="str">
        <f aca="false">IF($A82="","",IFERROR(INDEX(Equipment!$J$5:$J$500,MATCH($A82,Equipment!$S$5:$S$500,0))&amp;"",""))</f>
        <v/>
      </c>
      <c r="I82" s="0" t="str">
        <f aca="false">IF($A82="","",IFERROR(INDEX(Equipment!$K$5:$K$500,MATCH($A82,Equipment!$S$5:$S$500,0))&amp;"",""))</f>
        <v/>
      </c>
      <c r="J82" s="0" t="str">
        <f aca="false">IF($A82="","",IFERROR(INDEX(Equipment!$L$5:$L$500,MATCH($A82,Equipment!$S$5:$S$500,0))&amp;"",""))</f>
        <v/>
      </c>
      <c r="K82" s="0" t="str">
        <f aca="false">IF($A82="","",IFERROR(INDEX(Equipment!$Q$5:$Q$500,MATCH($A82,Equipment!$S$5:$S$500,0))&amp;"",""))</f>
        <v/>
      </c>
    </row>
    <row r="83" customFormat="false" ht="15" hidden="false" customHeight="false" outlineLevel="0" collapsed="false">
      <c r="A83" s="0" t="str">
        <f aca="false">IF(75&gt;$C$6,"",75)</f>
        <v/>
      </c>
      <c r="B83" s="0" t="str">
        <f aca="false">IF($A83="","",IFERROR(INDEX(Equipment!$A$5:$A$500,MATCH($A83,Equipment!$S$5:$S$500,0))&amp;"",""))</f>
        <v/>
      </c>
      <c r="C83" s="0" t="str">
        <f aca="false">IF($A83="","",IFERROR(INDEX(Equipment!$B$5:$B$500,MATCH($A83,Equipment!$S$5:$S$500,0))&amp;"",""))</f>
        <v/>
      </c>
      <c r="D83" s="0" t="str">
        <f aca="false">IF($A83="","",IFERROR(INDEX(Equipment!$E$5:$E$500,MATCH($A83,Equipment!$S$5:$S$500,0))&amp;"",""))</f>
        <v/>
      </c>
      <c r="E83" s="0" t="str">
        <f aca="false">IF($A83="","",IFERROR(INDEX(Equipment!$F$5:$F$500,MATCH($A83,Equipment!$S$5:$S$500,0))&amp;"",""))</f>
        <v/>
      </c>
      <c r="F83" s="0" t="str">
        <f aca="false">IF($A83="","",IFERROR(INDEX(Equipment!$G$5:$G$500,MATCH($A83,Equipment!$S$5:$S$500,0))&amp;"",""))</f>
        <v/>
      </c>
      <c r="G83" s="0" t="str">
        <f aca="false">IF($A83="","",IFERROR(INDEX(Equipment!$H$5:$H$500,MATCH($A83,Equipment!$S$5:$S$500,0))&amp;"",""))</f>
        <v/>
      </c>
      <c r="H83" s="0" t="str">
        <f aca="false">IF($A83="","",IFERROR(INDEX(Equipment!$J$5:$J$500,MATCH($A83,Equipment!$S$5:$S$500,0))&amp;"",""))</f>
        <v/>
      </c>
      <c r="I83" s="0" t="str">
        <f aca="false">IF($A83="","",IFERROR(INDEX(Equipment!$K$5:$K$500,MATCH($A83,Equipment!$S$5:$S$500,0))&amp;"",""))</f>
        <v/>
      </c>
      <c r="J83" s="0" t="str">
        <f aca="false">IF($A83="","",IFERROR(INDEX(Equipment!$L$5:$L$500,MATCH($A83,Equipment!$S$5:$S$500,0))&amp;"",""))</f>
        <v/>
      </c>
      <c r="K83" s="0" t="str">
        <f aca="false">IF($A83="","",IFERROR(INDEX(Equipment!$Q$5:$Q$500,MATCH($A83,Equipment!$S$5:$S$500,0))&amp;"",""))</f>
        <v/>
      </c>
    </row>
    <row r="84" customFormat="false" ht="15" hidden="false" customHeight="false" outlineLevel="0" collapsed="false">
      <c r="A84" s="0" t="str">
        <f aca="false">IF(76&gt;$C$6,"",76)</f>
        <v/>
      </c>
      <c r="B84" s="0" t="str">
        <f aca="false">IF($A84="","",IFERROR(INDEX(Equipment!$A$5:$A$500,MATCH($A84,Equipment!$S$5:$S$500,0))&amp;"",""))</f>
        <v/>
      </c>
      <c r="C84" s="0" t="str">
        <f aca="false">IF($A84="","",IFERROR(INDEX(Equipment!$B$5:$B$500,MATCH($A84,Equipment!$S$5:$S$500,0))&amp;"",""))</f>
        <v/>
      </c>
      <c r="D84" s="0" t="str">
        <f aca="false">IF($A84="","",IFERROR(INDEX(Equipment!$E$5:$E$500,MATCH($A84,Equipment!$S$5:$S$500,0))&amp;"",""))</f>
        <v/>
      </c>
      <c r="E84" s="0" t="str">
        <f aca="false">IF($A84="","",IFERROR(INDEX(Equipment!$F$5:$F$500,MATCH($A84,Equipment!$S$5:$S$500,0))&amp;"",""))</f>
        <v/>
      </c>
      <c r="F84" s="0" t="str">
        <f aca="false">IF($A84="","",IFERROR(INDEX(Equipment!$G$5:$G$500,MATCH($A84,Equipment!$S$5:$S$500,0))&amp;"",""))</f>
        <v/>
      </c>
      <c r="G84" s="0" t="str">
        <f aca="false">IF($A84="","",IFERROR(INDEX(Equipment!$H$5:$H$500,MATCH($A84,Equipment!$S$5:$S$500,0))&amp;"",""))</f>
        <v/>
      </c>
      <c r="H84" s="0" t="str">
        <f aca="false">IF($A84="","",IFERROR(INDEX(Equipment!$J$5:$J$500,MATCH($A84,Equipment!$S$5:$S$500,0))&amp;"",""))</f>
        <v/>
      </c>
      <c r="I84" s="0" t="str">
        <f aca="false">IF($A84="","",IFERROR(INDEX(Equipment!$K$5:$K$500,MATCH($A84,Equipment!$S$5:$S$500,0))&amp;"",""))</f>
        <v/>
      </c>
      <c r="J84" s="0" t="str">
        <f aca="false">IF($A84="","",IFERROR(INDEX(Equipment!$L$5:$L$500,MATCH($A84,Equipment!$S$5:$S$500,0))&amp;"",""))</f>
        <v/>
      </c>
      <c r="K84" s="0" t="str">
        <f aca="false">IF($A84="","",IFERROR(INDEX(Equipment!$Q$5:$Q$500,MATCH($A84,Equipment!$S$5:$S$500,0))&amp;"",""))</f>
        <v/>
      </c>
    </row>
    <row r="85" customFormat="false" ht="15" hidden="false" customHeight="false" outlineLevel="0" collapsed="false">
      <c r="A85" s="0" t="str">
        <f aca="false">IF(77&gt;$C$6,"",77)</f>
        <v/>
      </c>
      <c r="B85" s="0" t="str">
        <f aca="false">IF($A85="","",IFERROR(INDEX(Equipment!$A$5:$A$500,MATCH($A85,Equipment!$S$5:$S$500,0))&amp;"",""))</f>
        <v/>
      </c>
      <c r="C85" s="0" t="str">
        <f aca="false">IF($A85="","",IFERROR(INDEX(Equipment!$B$5:$B$500,MATCH($A85,Equipment!$S$5:$S$500,0))&amp;"",""))</f>
        <v/>
      </c>
      <c r="D85" s="0" t="str">
        <f aca="false">IF($A85="","",IFERROR(INDEX(Equipment!$E$5:$E$500,MATCH($A85,Equipment!$S$5:$S$500,0))&amp;"",""))</f>
        <v/>
      </c>
      <c r="E85" s="0" t="str">
        <f aca="false">IF($A85="","",IFERROR(INDEX(Equipment!$F$5:$F$500,MATCH($A85,Equipment!$S$5:$S$500,0))&amp;"",""))</f>
        <v/>
      </c>
      <c r="F85" s="0" t="str">
        <f aca="false">IF($A85="","",IFERROR(INDEX(Equipment!$G$5:$G$500,MATCH($A85,Equipment!$S$5:$S$500,0))&amp;"",""))</f>
        <v/>
      </c>
      <c r="G85" s="0" t="str">
        <f aca="false">IF($A85="","",IFERROR(INDEX(Equipment!$H$5:$H$500,MATCH($A85,Equipment!$S$5:$S$500,0))&amp;"",""))</f>
        <v/>
      </c>
      <c r="H85" s="0" t="str">
        <f aca="false">IF($A85="","",IFERROR(INDEX(Equipment!$J$5:$J$500,MATCH($A85,Equipment!$S$5:$S$500,0))&amp;"",""))</f>
        <v/>
      </c>
      <c r="I85" s="0" t="str">
        <f aca="false">IF($A85="","",IFERROR(INDEX(Equipment!$K$5:$K$500,MATCH($A85,Equipment!$S$5:$S$500,0))&amp;"",""))</f>
        <v/>
      </c>
      <c r="J85" s="0" t="str">
        <f aca="false">IF($A85="","",IFERROR(INDEX(Equipment!$L$5:$L$500,MATCH($A85,Equipment!$S$5:$S$500,0))&amp;"",""))</f>
        <v/>
      </c>
      <c r="K85" s="0" t="str">
        <f aca="false">IF($A85="","",IFERROR(INDEX(Equipment!$Q$5:$Q$500,MATCH($A85,Equipment!$S$5:$S$500,0))&amp;"",""))</f>
        <v/>
      </c>
    </row>
    <row r="86" customFormat="false" ht="15" hidden="false" customHeight="false" outlineLevel="0" collapsed="false">
      <c r="A86" s="0" t="str">
        <f aca="false">IF(78&gt;$C$6,"",78)</f>
        <v/>
      </c>
      <c r="B86" s="0" t="str">
        <f aca="false">IF($A86="","",IFERROR(INDEX(Equipment!$A$5:$A$500,MATCH($A86,Equipment!$S$5:$S$500,0))&amp;"",""))</f>
        <v/>
      </c>
      <c r="C86" s="0" t="str">
        <f aca="false">IF($A86="","",IFERROR(INDEX(Equipment!$B$5:$B$500,MATCH($A86,Equipment!$S$5:$S$500,0))&amp;"",""))</f>
        <v/>
      </c>
      <c r="D86" s="0" t="str">
        <f aca="false">IF($A86="","",IFERROR(INDEX(Equipment!$E$5:$E$500,MATCH($A86,Equipment!$S$5:$S$500,0))&amp;"",""))</f>
        <v/>
      </c>
      <c r="E86" s="0" t="str">
        <f aca="false">IF($A86="","",IFERROR(INDEX(Equipment!$F$5:$F$500,MATCH($A86,Equipment!$S$5:$S$500,0))&amp;"",""))</f>
        <v/>
      </c>
      <c r="F86" s="0" t="str">
        <f aca="false">IF($A86="","",IFERROR(INDEX(Equipment!$G$5:$G$500,MATCH($A86,Equipment!$S$5:$S$500,0))&amp;"",""))</f>
        <v/>
      </c>
      <c r="G86" s="0" t="str">
        <f aca="false">IF($A86="","",IFERROR(INDEX(Equipment!$H$5:$H$500,MATCH($A86,Equipment!$S$5:$S$500,0))&amp;"",""))</f>
        <v/>
      </c>
      <c r="H86" s="0" t="str">
        <f aca="false">IF($A86="","",IFERROR(INDEX(Equipment!$J$5:$J$500,MATCH($A86,Equipment!$S$5:$S$500,0))&amp;"",""))</f>
        <v/>
      </c>
      <c r="I86" s="0" t="str">
        <f aca="false">IF($A86="","",IFERROR(INDEX(Equipment!$K$5:$K$500,MATCH($A86,Equipment!$S$5:$S$500,0))&amp;"",""))</f>
        <v/>
      </c>
      <c r="J86" s="0" t="str">
        <f aca="false">IF($A86="","",IFERROR(INDEX(Equipment!$L$5:$L$500,MATCH($A86,Equipment!$S$5:$S$500,0))&amp;"",""))</f>
        <v/>
      </c>
      <c r="K86" s="0" t="str">
        <f aca="false">IF($A86="","",IFERROR(INDEX(Equipment!$Q$5:$Q$500,MATCH($A86,Equipment!$S$5:$S$500,0))&amp;"",""))</f>
        <v/>
      </c>
    </row>
    <row r="87" customFormat="false" ht="15" hidden="false" customHeight="false" outlineLevel="0" collapsed="false">
      <c r="A87" s="0" t="str">
        <f aca="false">IF(79&gt;$C$6,"",79)</f>
        <v/>
      </c>
      <c r="B87" s="0" t="str">
        <f aca="false">IF($A87="","",IFERROR(INDEX(Equipment!$A$5:$A$500,MATCH($A87,Equipment!$S$5:$S$500,0))&amp;"",""))</f>
        <v/>
      </c>
      <c r="C87" s="0" t="str">
        <f aca="false">IF($A87="","",IFERROR(INDEX(Equipment!$B$5:$B$500,MATCH($A87,Equipment!$S$5:$S$500,0))&amp;"",""))</f>
        <v/>
      </c>
      <c r="D87" s="0" t="str">
        <f aca="false">IF($A87="","",IFERROR(INDEX(Equipment!$E$5:$E$500,MATCH($A87,Equipment!$S$5:$S$500,0))&amp;"",""))</f>
        <v/>
      </c>
      <c r="E87" s="0" t="str">
        <f aca="false">IF($A87="","",IFERROR(INDEX(Equipment!$F$5:$F$500,MATCH($A87,Equipment!$S$5:$S$500,0))&amp;"",""))</f>
        <v/>
      </c>
      <c r="F87" s="0" t="str">
        <f aca="false">IF($A87="","",IFERROR(INDEX(Equipment!$G$5:$G$500,MATCH($A87,Equipment!$S$5:$S$500,0))&amp;"",""))</f>
        <v/>
      </c>
      <c r="G87" s="0" t="str">
        <f aca="false">IF($A87="","",IFERROR(INDEX(Equipment!$H$5:$H$500,MATCH($A87,Equipment!$S$5:$S$500,0))&amp;"",""))</f>
        <v/>
      </c>
      <c r="H87" s="0" t="str">
        <f aca="false">IF($A87="","",IFERROR(INDEX(Equipment!$J$5:$J$500,MATCH($A87,Equipment!$S$5:$S$500,0))&amp;"",""))</f>
        <v/>
      </c>
      <c r="I87" s="0" t="str">
        <f aca="false">IF($A87="","",IFERROR(INDEX(Equipment!$K$5:$K$500,MATCH($A87,Equipment!$S$5:$S$500,0))&amp;"",""))</f>
        <v/>
      </c>
      <c r="J87" s="0" t="str">
        <f aca="false">IF($A87="","",IFERROR(INDEX(Equipment!$L$5:$L$500,MATCH($A87,Equipment!$S$5:$S$500,0))&amp;"",""))</f>
        <v/>
      </c>
      <c r="K87" s="0" t="str">
        <f aca="false">IF($A87="","",IFERROR(INDEX(Equipment!$Q$5:$Q$500,MATCH($A87,Equipment!$S$5:$S$500,0))&amp;"",""))</f>
        <v/>
      </c>
    </row>
    <row r="88" customFormat="false" ht="15" hidden="false" customHeight="false" outlineLevel="0" collapsed="false">
      <c r="A88" s="0" t="str">
        <f aca="false">IF(80&gt;$C$6,"",80)</f>
        <v/>
      </c>
      <c r="B88" s="0" t="str">
        <f aca="false">IF($A88="","",IFERROR(INDEX(Equipment!$A$5:$A$500,MATCH($A88,Equipment!$S$5:$S$500,0))&amp;"",""))</f>
        <v/>
      </c>
      <c r="C88" s="0" t="str">
        <f aca="false">IF($A88="","",IFERROR(INDEX(Equipment!$B$5:$B$500,MATCH($A88,Equipment!$S$5:$S$500,0))&amp;"",""))</f>
        <v/>
      </c>
      <c r="D88" s="0" t="str">
        <f aca="false">IF($A88="","",IFERROR(INDEX(Equipment!$E$5:$E$500,MATCH($A88,Equipment!$S$5:$S$500,0))&amp;"",""))</f>
        <v/>
      </c>
      <c r="E88" s="0" t="str">
        <f aca="false">IF($A88="","",IFERROR(INDEX(Equipment!$F$5:$F$500,MATCH($A88,Equipment!$S$5:$S$500,0))&amp;"",""))</f>
        <v/>
      </c>
      <c r="F88" s="0" t="str">
        <f aca="false">IF($A88="","",IFERROR(INDEX(Equipment!$G$5:$G$500,MATCH($A88,Equipment!$S$5:$S$500,0))&amp;"",""))</f>
        <v/>
      </c>
      <c r="G88" s="0" t="str">
        <f aca="false">IF($A88="","",IFERROR(INDEX(Equipment!$H$5:$H$500,MATCH($A88,Equipment!$S$5:$S$500,0))&amp;"",""))</f>
        <v/>
      </c>
      <c r="H88" s="0" t="str">
        <f aca="false">IF($A88="","",IFERROR(INDEX(Equipment!$J$5:$J$500,MATCH($A88,Equipment!$S$5:$S$500,0))&amp;"",""))</f>
        <v/>
      </c>
      <c r="I88" s="0" t="str">
        <f aca="false">IF($A88="","",IFERROR(INDEX(Equipment!$K$5:$K$500,MATCH($A88,Equipment!$S$5:$S$500,0))&amp;"",""))</f>
        <v/>
      </c>
      <c r="J88" s="0" t="str">
        <f aca="false">IF($A88="","",IFERROR(INDEX(Equipment!$L$5:$L$500,MATCH($A88,Equipment!$S$5:$S$500,0))&amp;"",""))</f>
        <v/>
      </c>
      <c r="K88" s="0" t="str">
        <f aca="false">IF($A88="","",IFERROR(INDEX(Equipment!$Q$5:$Q$500,MATCH($A88,Equipment!$S$5:$S$500,0))&amp;"",""))</f>
        <v/>
      </c>
    </row>
    <row r="89" customFormat="false" ht="15" hidden="false" customHeight="false" outlineLevel="0" collapsed="false">
      <c r="A89" s="0" t="str">
        <f aca="false">IF(81&gt;$C$6,"",81)</f>
        <v/>
      </c>
      <c r="B89" s="0" t="str">
        <f aca="false">IF($A89="","",IFERROR(INDEX(Equipment!$A$5:$A$500,MATCH($A89,Equipment!$S$5:$S$500,0))&amp;"",""))</f>
        <v/>
      </c>
      <c r="C89" s="0" t="str">
        <f aca="false">IF($A89="","",IFERROR(INDEX(Equipment!$B$5:$B$500,MATCH($A89,Equipment!$S$5:$S$500,0))&amp;"",""))</f>
        <v/>
      </c>
      <c r="D89" s="0" t="str">
        <f aca="false">IF($A89="","",IFERROR(INDEX(Equipment!$E$5:$E$500,MATCH($A89,Equipment!$S$5:$S$500,0))&amp;"",""))</f>
        <v/>
      </c>
      <c r="E89" s="0" t="str">
        <f aca="false">IF($A89="","",IFERROR(INDEX(Equipment!$F$5:$F$500,MATCH($A89,Equipment!$S$5:$S$500,0))&amp;"",""))</f>
        <v/>
      </c>
      <c r="F89" s="0" t="str">
        <f aca="false">IF($A89="","",IFERROR(INDEX(Equipment!$G$5:$G$500,MATCH($A89,Equipment!$S$5:$S$500,0))&amp;"",""))</f>
        <v/>
      </c>
      <c r="G89" s="0" t="str">
        <f aca="false">IF($A89="","",IFERROR(INDEX(Equipment!$H$5:$H$500,MATCH($A89,Equipment!$S$5:$S$500,0))&amp;"",""))</f>
        <v/>
      </c>
      <c r="H89" s="0" t="str">
        <f aca="false">IF($A89="","",IFERROR(INDEX(Equipment!$J$5:$J$500,MATCH($A89,Equipment!$S$5:$S$500,0))&amp;"",""))</f>
        <v/>
      </c>
      <c r="I89" s="0" t="str">
        <f aca="false">IF($A89="","",IFERROR(INDEX(Equipment!$K$5:$K$500,MATCH($A89,Equipment!$S$5:$S$500,0))&amp;"",""))</f>
        <v/>
      </c>
      <c r="J89" s="0" t="str">
        <f aca="false">IF($A89="","",IFERROR(INDEX(Equipment!$L$5:$L$500,MATCH($A89,Equipment!$S$5:$S$500,0))&amp;"",""))</f>
        <v/>
      </c>
      <c r="K89" s="0" t="str">
        <f aca="false">IF($A89="","",IFERROR(INDEX(Equipment!$Q$5:$Q$500,MATCH($A89,Equipment!$S$5:$S$500,0))&amp;"",""))</f>
        <v/>
      </c>
    </row>
    <row r="90" customFormat="false" ht="15" hidden="false" customHeight="false" outlineLevel="0" collapsed="false">
      <c r="A90" s="0" t="str">
        <f aca="false">IF(82&gt;$C$6,"",82)</f>
        <v/>
      </c>
      <c r="B90" s="0" t="str">
        <f aca="false">IF($A90="","",IFERROR(INDEX(Equipment!$A$5:$A$500,MATCH($A90,Equipment!$S$5:$S$500,0))&amp;"",""))</f>
        <v/>
      </c>
      <c r="C90" s="0" t="str">
        <f aca="false">IF($A90="","",IFERROR(INDEX(Equipment!$B$5:$B$500,MATCH($A90,Equipment!$S$5:$S$500,0))&amp;"",""))</f>
        <v/>
      </c>
      <c r="D90" s="0" t="str">
        <f aca="false">IF($A90="","",IFERROR(INDEX(Equipment!$E$5:$E$500,MATCH($A90,Equipment!$S$5:$S$500,0))&amp;"",""))</f>
        <v/>
      </c>
      <c r="E90" s="0" t="str">
        <f aca="false">IF($A90="","",IFERROR(INDEX(Equipment!$F$5:$F$500,MATCH($A90,Equipment!$S$5:$S$500,0))&amp;"",""))</f>
        <v/>
      </c>
      <c r="F90" s="0" t="str">
        <f aca="false">IF($A90="","",IFERROR(INDEX(Equipment!$G$5:$G$500,MATCH($A90,Equipment!$S$5:$S$500,0))&amp;"",""))</f>
        <v/>
      </c>
      <c r="G90" s="0" t="str">
        <f aca="false">IF($A90="","",IFERROR(INDEX(Equipment!$H$5:$H$500,MATCH($A90,Equipment!$S$5:$S$500,0))&amp;"",""))</f>
        <v/>
      </c>
      <c r="H90" s="0" t="str">
        <f aca="false">IF($A90="","",IFERROR(INDEX(Equipment!$J$5:$J$500,MATCH($A90,Equipment!$S$5:$S$500,0))&amp;"",""))</f>
        <v/>
      </c>
      <c r="I90" s="0" t="str">
        <f aca="false">IF($A90="","",IFERROR(INDEX(Equipment!$K$5:$K$500,MATCH($A90,Equipment!$S$5:$S$500,0))&amp;"",""))</f>
        <v/>
      </c>
      <c r="J90" s="0" t="str">
        <f aca="false">IF($A90="","",IFERROR(INDEX(Equipment!$L$5:$L$500,MATCH($A90,Equipment!$S$5:$S$500,0))&amp;"",""))</f>
        <v/>
      </c>
      <c r="K90" s="0" t="str">
        <f aca="false">IF($A90="","",IFERROR(INDEX(Equipment!$Q$5:$Q$500,MATCH($A90,Equipment!$S$5:$S$500,0))&amp;"",""))</f>
        <v/>
      </c>
    </row>
    <row r="91" customFormat="false" ht="15" hidden="false" customHeight="false" outlineLevel="0" collapsed="false">
      <c r="A91" s="0" t="str">
        <f aca="false">IF(83&gt;$C$6,"",83)</f>
        <v/>
      </c>
      <c r="B91" s="0" t="str">
        <f aca="false">IF($A91="","",IFERROR(INDEX(Equipment!$A$5:$A$500,MATCH($A91,Equipment!$S$5:$S$500,0))&amp;"",""))</f>
        <v/>
      </c>
      <c r="C91" s="0" t="str">
        <f aca="false">IF($A91="","",IFERROR(INDEX(Equipment!$B$5:$B$500,MATCH($A91,Equipment!$S$5:$S$500,0))&amp;"",""))</f>
        <v/>
      </c>
      <c r="D91" s="0" t="str">
        <f aca="false">IF($A91="","",IFERROR(INDEX(Equipment!$E$5:$E$500,MATCH($A91,Equipment!$S$5:$S$500,0))&amp;"",""))</f>
        <v/>
      </c>
      <c r="E91" s="0" t="str">
        <f aca="false">IF($A91="","",IFERROR(INDEX(Equipment!$F$5:$F$500,MATCH($A91,Equipment!$S$5:$S$500,0))&amp;"",""))</f>
        <v/>
      </c>
      <c r="F91" s="0" t="str">
        <f aca="false">IF($A91="","",IFERROR(INDEX(Equipment!$G$5:$G$500,MATCH($A91,Equipment!$S$5:$S$500,0))&amp;"",""))</f>
        <v/>
      </c>
      <c r="G91" s="0" t="str">
        <f aca="false">IF($A91="","",IFERROR(INDEX(Equipment!$H$5:$H$500,MATCH($A91,Equipment!$S$5:$S$500,0))&amp;"",""))</f>
        <v/>
      </c>
      <c r="H91" s="0" t="str">
        <f aca="false">IF($A91="","",IFERROR(INDEX(Equipment!$J$5:$J$500,MATCH($A91,Equipment!$S$5:$S$500,0))&amp;"",""))</f>
        <v/>
      </c>
      <c r="I91" s="0" t="str">
        <f aca="false">IF($A91="","",IFERROR(INDEX(Equipment!$K$5:$K$500,MATCH($A91,Equipment!$S$5:$S$500,0))&amp;"",""))</f>
        <v/>
      </c>
      <c r="J91" s="0" t="str">
        <f aca="false">IF($A91="","",IFERROR(INDEX(Equipment!$L$5:$L$500,MATCH($A91,Equipment!$S$5:$S$500,0))&amp;"",""))</f>
        <v/>
      </c>
      <c r="K91" s="0" t="str">
        <f aca="false">IF($A91="","",IFERROR(INDEX(Equipment!$Q$5:$Q$500,MATCH($A91,Equipment!$S$5:$S$500,0))&amp;"",""))</f>
        <v/>
      </c>
    </row>
    <row r="92" customFormat="false" ht="15" hidden="false" customHeight="false" outlineLevel="0" collapsed="false">
      <c r="A92" s="0" t="str">
        <f aca="false">IF(84&gt;$C$6,"",84)</f>
        <v/>
      </c>
      <c r="B92" s="0" t="str">
        <f aca="false">IF($A92="","",IFERROR(INDEX(Equipment!$A$5:$A$500,MATCH($A92,Equipment!$S$5:$S$500,0))&amp;"",""))</f>
        <v/>
      </c>
      <c r="C92" s="0" t="str">
        <f aca="false">IF($A92="","",IFERROR(INDEX(Equipment!$B$5:$B$500,MATCH($A92,Equipment!$S$5:$S$500,0))&amp;"",""))</f>
        <v/>
      </c>
      <c r="D92" s="0" t="str">
        <f aca="false">IF($A92="","",IFERROR(INDEX(Equipment!$E$5:$E$500,MATCH($A92,Equipment!$S$5:$S$500,0))&amp;"",""))</f>
        <v/>
      </c>
      <c r="E92" s="0" t="str">
        <f aca="false">IF($A92="","",IFERROR(INDEX(Equipment!$F$5:$F$500,MATCH($A92,Equipment!$S$5:$S$500,0))&amp;"",""))</f>
        <v/>
      </c>
      <c r="F92" s="0" t="str">
        <f aca="false">IF($A92="","",IFERROR(INDEX(Equipment!$G$5:$G$500,MATCH($A92,Equipment!$S$5:$S$500,0))&amp;"",""))</f>
        <v/>
      </c>
      <c r="G92" s="0" t="str">
        <f aca="false">IF($A92="","",IFERROR(INDEX(Equipment!$H$5:$H$500,MATCH($A92,Equipment!$S$5:$S$500,0))&amp;"",""))</f>
        <v/>
      </c>
      <c r="H92" s="0" t="str">
        <f aca="false">IF($A92="","",IFERROR(INDEX(Equipment!$J$5:$J$500,MATCH($A92,Equipment!$S$5:$S$500,0))&amp;"",""))</f>
        <v/>
      </c>
      <c r="I92" s="0" t="str">
        <f aca="false">IF($A92="","",IFERROR(INDEX(Equipment!$K$5:$K$500,MATCH($A92,Equipment!$S$5:$S$500,0))&amp;"",""))</f>
        <v/>
      </c>
      <c r="J92" s="0" t="str">
        <f aca="false">IF($A92="","",IFERROR(INDEX(Equipment!$L$5:$L$500,MATCH($A92,Equipment!$S$5:$S$500,0))&amp;"",""))</f>
        <v/>
      </c>
      <c r="K92" s="0" t="str">
        <f aca="false">IF($A92="","",IFERROR(INDEX(Equipment!$Q$5:$Q$500,MATCH($A92,Equipment!$S$5:$S$500,0))&amp;"",""))</f>
        <v/>
      </c>
    </row>
    <row r="93" customFormat="false" ht="15" hidden="false" customHeight="false" outlineLevel="0" collapsed="false">
      <c r="A93" s="0" t="str">
        <f aca="false">IF(85&gt;$C$6,"",85)</f>
        <v/>
      </c>
      <c r="B93" s="0" t="str">
        <f aca="false">IF($A93="","",IFERROR(INDEX(Equipment!$A$5:$A$500,MATCH($A93,Equipment!$S$5:$S$500,0))&amp;"",""))</f>
        <v/>
      </c>
      <c r="C93" s="0" t="str">
        <f aca="false">IF($A93="","",IFERROR(INDEX(Equipment!$B$5:$B$500,MATCH($A93,Equipment!$S$5:$S$500,0))&amp;"",""))</f>
        <v/>
      </c>
      <c r="D93" s="0" t="str">
        <f aca="false">IF($A93="","",IFERROR(INDEX(Equipment!$E$5:$E$500,MATCH($A93,Equipment!$S$5:$S$500,0))&amp;"",""))</f>
        <v/>
      </c>
      <c r="E93" s="0" t="str">
        <f aca="false">IF($A93="","",IFERROR(INDEX(Equipment!$F$5:$F$500,MATCH($A93,Equipment!$S$5:$S$500,0))&amp;"",""))</f>
        <v/>
      </c>
      <c r="F93" s="0" t="str">
        <f aca="false">IF($A93="","",IFERROR(INDEX(Equipment!$G$5:$G$500,MATCH($A93,Equipment!$S$5:$S$500,0))&amp;"",""))</f>
        <v/>
      </c>
      <c r="G93" s="0" t="str">
        <f aca="false">IF($A93="","",IFERROR(INDEX(Equipment!$H$5:$H$500,MATCH($A93,Equipment!$S$5:$S$500,0))&amp;"",""))</f>
        <v/>
      </c>
      <c r="H93" s="0" t="str">
        <f aca="false">IF($A93="","",IFERROR(INDEX(Equipment!$J$5:$J$500,MATCH($A93,Equipment!$S$5:$S$500,0))&amp;"",""))</f>
        <v/>
      </c>
      <c r="I93" s="0" t="str">
        <f aca="false">IF($A93="","",IFERROR(INDEX(Equipment!$K$5:$K$500,MATCH($A93,Equipment!$S$5:$S$500,0))&amp;"",""))</f>
        <v/>
      </c>
      <c r="J93" s="0" t="str">
        <f aca="false">IF($A93="","",IFERROR(INDEX(Equipment!$L$5:$L$500,MATCH($A93,Equipment!$S$5:$S$500,0))&amp;"",""))</f>
        <v/>
      </c>
      <c r="K93" s="0" t="str">
        <f aca="false">IF($A93="","",IFERROR(INDEX(Equipment!$Q$5:$Q$500,MATCH($A93,Equipment!$S$5:$S$500,0))&amp;"",""))</f>
        <v/>
      </c>
    </row>
    <row r="94" customFormat="false" ht="15" hidden="false" customHeight="false" outlineLevel="0" collapsed="false">
      <c r="A94" s="0" t="str">
        <f aca="false">IF(86&gt;$C$6,"",86)</f>
        <v/>
      </c>
      <c r="B94" s="0" t="str">
        <f aca="false">IF($A94="","",IFERROR(INDEX(Equipment!$A$5:$A$500,MATCH($A94,Equipment!$S$5:$S$500,0))&amp;"",""))</f>
        <v/>
      </c>
      <c r="C94" s="0" t="str">
        <f aca="false">IF($A94="","",IFERROR(INDEX(Equipment!$B$5:$B$500,MATCH($A94,Equipment!$S$5:$S$500,0))&amp;"",""))</f>
        <v/>
      </c>
      <c r="D94" s="0" t="str">
        <f aca="false">IF($A94="","",IFERROR(INDEX(Equipment!$E$5:$E$500,MATCH($A94,Equipment!$S$5:$S$500,0))&amp;"",""))</f>
        <v/>
      </c>
      <c r="E94" s="0" t="str">
        <f aca="false">IF($A94="","",IFERROR(INDEX(Equipment!$F$5:$F$500,MATCH($A94,Equipment!$S$5:$S$500,0))&amp;"",""))</f>
        <v/>
      </c>
      <c r="F94" s="0" t="str">
        <f aca="false">IF($A94="","",IFERROR(INDEX(Equipment!$G$5:$G$500,MATCH($A94,Equipment!$S$5:$S$500,0))&amp;"",""))</f>
        <v/>
      </c>
      <c r="G94" s="0" t="str">
        <f aca="false">IF($A94="","",IFERROR(INDEX(Equipment!$H$5:$H$500,MATCH($A94,Equipment!$S$5:$S$500,0))&amp;"",""))</f>
        <v/>
      </c>
      <c r="H94" s="0" t="str">
        <f aca="false">IF($A94="","",IFERROR(INDEX(Equipment!$J$5:$J$500,MATCH($A94,Equipment!$S$5:$S$500,0))&amp;"",""))</f>
        <v/>
      </c>
      <c r="I94" s="0" t="str">
        <f aca="false">IF($A94="","",IFERROR(INDEX(Equipment!$K$5:$K$500,MATCH($A94,Equipment!$S$5:$S$500,0))&amp;"",""))</f>
        <v/>
      </c>
      <c r="J94" s="0" t="str">
        <f aca="false">IF($A94="","",IFERROR(INDEX(Equipment!$L$5:$L$500,MATCH($A94,Equipment!$S$5:$S$500,0))&amp;"",""))</f>
        <v/>
      </c>
      <c r="K94" s="0" t="str">
        <f aca="false">IF($A94="","",IFERROR(INDEX(Equipment!$Q$5:$Q$500,MATCH($A94,Equipment!$S$5:$S$500,0))&amp;"",""))</f>
        <v/>
      </c>
    </row>
    <row r="95" customFormat="false" ht="15" hidden="false" customHeight="false" outlineLevel="0" collapsed="false">
      <c r="A95" s="0" t="str">
        <f aca="false">IF(87&gt;$C$6,"",87)</f>
        <v/>
      </c>
      <c r="B95" s="0" t="str">
        <f aca="false">IF($A95="","",IFERROR(INDEX(Equipment!$A$5:$A$500,MATCH($A95,Equipment!$S$5:$S$500,0))&amp;"",""))</f>
        <v/>
      </c>
      <c r="C95" s="0" t="str">
        <f aca="false">IF($A95="","",IFERROR(INDEX(Equipment!$B$5:$B$500,MATCH($A95,Equipment!$S$5:$S$500,0))&amp;"",""))</f>
        <v/>
      </c>
      <c r="D95" s="0" t="str">
        <f aca="false">IF($A95="","",IFERROR(INDEX(Equipment!$E$5:$E$500,MATCH($A95,Equipment!$S$5:$S$500,0))&amp;"",""))</f>
        <v/>
      </c>
      <c r="E95" s="0" t="str">
        <f aca="false">IF($A95="","",IFERROR(INDEX(Equipment!$F$5:$F$500,MATCH($A95,Equipment!$S$5:$S$500,0))&amp;"",""))</f>
        <v/>
      </c>
      <c r="F95" s="0" t="str">
        <f aca="false">IF($A95="","",IFERROR(INDEX(Equipment!$G$5:$G$500,MATCH($A95,Equipment!$S$5:$S$500,0))&amp;"",""))</f>
        <v/>
      </c>
      <c r="G95" s="0" t="str">
        <f aca="false">IF($A95="","",IFERROR(INDEX(Equipment!$H$5:$H$500,MATCH($A95,Equipment!$S$5:$S$500,0))&amp;"",""))</f>
        <v/>
      </c>
      <c r="H95" s="0" t="str">
        <f aca="false">IF($A95="","",IFERROR(INDEX(Equipment!$J$5:$J$500,MATCH($A95,Equipment!$S$5:$S$500,0))&amp;"",""))</f>
        <v/>
      </c>
      <c r="I95" s="0" t="str">
        <f aca="false">IF($A95="","",IFERROR(INDEX(Equipment!$K$5:$K$500,MATCH($A95,Equipment!$S$5:$S$500,0))&amp;"",""))</f>
        <v/>
      </c>
      <c r="J95" s="0" t="str">
        <f aca="false">IF($A95="","",IFERROR(INDEX(Equipment!$L$5:$L$500,MATCH($A95,Equipment!$S$5:$S$500,0))&amp;"",""))</f>
        <v/>
      </c>
      <c r="K95" s="0" t="str">
        <f aca="false">IF($A95="","",IFERROR(INDEX(Equipment!$Q$5:$Q$500,MATCH($A95,Equipment!$S$5:$S$500,0))&amp;"",""))</f>
        <v/>
      </c>
    </row>
    <row r="96" customFormat="false" ht="15" hidden="false" customHeight="false" outlineLevel="0" collapsed="false">
      <c r="A96" s="0" t="str">
        <f aca="false">IF(88&gt;$C$6,"",88)</f>
        <v/>
      </c>
      <c r="B96" s="0" t="str">
        <f aca="false">IF($A96="","",IFERROR(INDEX(Equipment!$A$5:$A$500,MATCH($A96,Equipment!$S$5:$S$500,0))&amp;"",""))</f>
        <v/>
      </c>
      <c r="C96" s="0" t="str">
        <f aca="false">IF($A96="","",IFERROR(INDEX(Equipment!$B$5:$B$500,MATCH($A96,Equipment!$S$5:$S$500,0))&amp;"",""))</f>
        <v/>
      </c>
      <c r="D96" s="0" t="str">
        <f aca="false">IF($A96="","",IFERROR(INDEX(Equipment!$E$5:$E$500,MATCH($A96,Equipment!$S$5:$S$500,0))&amp;"",""))</f>
        <v/>
      </c>
      <c r="E96" s="0" t="str">
        <f aca="false">IF($A96="","",IFERROR(INDEX(Equipment!$F$5:$F$500,MATCH($A96,Equipment!$S$5:$S$500,0))&amp;"",""))</f>
        <v/>
      </c>
      <c r="F96" s="0" t="str">
        <f aca="false">IF($A96="","",IFERROR(INDEX(Equipment!$G$5:$G$500,MATCH($A96,Equipment!$S$5:$S$500,0))&amp;"",""))</f>
        <v/>
      </c>
      <c r="G96" s="0" t="str">
        <f aca="false">IF($A96="","",IFERROR(INDEX(Equipment!$H$5:$H$500,MATCH($A96,Equipment!$S$5:$S$500,0))&amp;"",""))</f>
        <v/>
      </c>
      <c r="H96" s="0" t="str">
        <f aca="false">IF($A96="","",IFERROR(INDEX(Equipment!$J$5:$J$500,MATCH($A96,Equipment!$S$5:$S$500,0))&amp;"",""))</f>
        <v/>
      </c>
      <c r="I96" s="0" t="str">
        <f aca="false">IF($A96="","",IFERROR(INDEX(Equipment!$K$5:$K$500,MATCH($A96,Equipment!$S$5:$S$500,0))&amp;"",""))</f>
        <v/>
      </c>
      <c r="J96" s="0" t="str">
        <f aca="false">IF($A96="","",IFERROR(INDEX(Equipment!$L$5:$L$500,MATCH($A96,Equipment!$S$5:$S$500,0))&amp;"",""))</f>
        <v/>
      </c>
      <c r="K96" s="0" t="str">
        <f aca="false">IF($A96="","",IFERROR(INDEX(Equipment!$Q$5:$Q$500,MATCH($A96,Equipment!$S$5:$S$500,0))&amp;"",""))</f>
        <v/>
      </c>
    </row>
    <row r="97" customFormat="false" ht="15" hidden="false" customHeight="false" outlineLevel="0" collapsed="false">
      <c r="A97" s="0" t="str">
        <f aca="false">IF(89&gt;$C$6,"",89)</f>
        <v/>
      </c>
      <c r="B97" s="0" t="str">
        <f aca="false">IF($A97="","",IFERROR(INDEX(Equipment!$A$5:$A$500,MATCH($A97,Equipment!$S$5:$S$500,0))&amp;"",""))</f>
        <v/>
      </c>
      <c r="C97" s="0" t="str">
        <f aca="false">IF($A97="","",IFERROR(INDEX(Equipment!$B$5:$B$500,MATCH($A97,Equipment!$S$5:$S$500,0))&amp;"",""))</f>
        <v/>
      </c>
      <c r="D97" s="0" t="str">
        <f aca="false">IF($A97="","",IFERROR(INDEX(Equipment!$E$5:$E$500,MATCH($A97,Equipment!$S$5:$S$500,0))&amp;"",""))</f>
        <v/>
      </c>
      <c r="E97" s="0" t="str">
        <f aca="false">IF($A97="","",IFERROR(INDEX(Equipment!$F$5:$F$500,MATCH($A97,Equipment!$S$5:$S$500,0))&amp;"",""))</f>
        <v/>
      </c>
      <c r="F97" s="0" t="str">
        <f aca="false">IF($A97="","",IFERROR(INDEX(Equipment!$G$5:$G$500,MATCH($A97,Equipment!$S$5:$S$500,0))&amp;"",""))</f>
        <v/>
      </c>
      <c r="G97" s="0" t="str">
        <f aca="false">IF($A97="","",IFERROR(INDEX(Equipment!$H$5:$H$500,MATCH($A97,Equipment!$S$5:$S$500,0))&amp;"",""))</f>
        <v/>
      </c>
      <c r="H97" s="0" t="str">
        <f aca="false">IF($A97="","",IFERROR(INDEX(Equipment!$J$5:$J$500,MATCH($A97,Equipment!$S$5:$S$500,0))&amp;"",""))</f>
        <v/>
      </c>
      <c r="I97" s="0" t="str">
        <f aca="false">IF($A97="","",IFERROR(INDEX(Equipment!$K$5:$K$500,MATCH($A97,Equipment!$S$5:$S$500,0))&amp;"",""))</f>
        <v/>
      </c>
      <c r="J97" s="0" t="str">
        <f aca="false">IF($A97="","",IFERROR(INDEX(Equipment!$L$5:$L$500,MATCH($A97,Equipment!$S$5:$S$500,0))&amp;"",""))</f>
        <v/>
      </c>
      <c r="K97" s="0" t="str">
        <f aca="false">IF($A97="","",IFERROR(INDEX(Equipment!$Q$5:$Q$500,MATCH($A97,Equipment!$S$5:$S$500,0))&amp;"",""))</f>
        <v/>
      </c>
    </row>
    <row r="98" customFormat="false" ht="15" hidden="false" customHeight="false" outlineLevel="0" collapsed="false">
      <c r="A98" s="0" t="str">
        <f aca="false">IF(90&gt;$C$6,"",90)</f>
        <v/>
      </c>
      <c r="B98" s="0" t="str">
        <f aca="false">IF($A98="","",IFERROR(INDEX(Equipment!$A$5:$A$500,MATCH($A98,Equipment!$S$5:$S$500,0))&amp;"",""))</f>
        <v/>
      </c>
      <c r="C98" s="0" t="str">
        <f aca="false">IF($A98="","",IFERROR(INDEX(Equipment!$B$5:$B$500,MATCH($A98,Equipment!$S$5:$S$500,0))&amp;"",""))</f>
        <v/>
      </c>
      <c r="D98" s="0" t="str">
        <f aca="false">IF($A98="","",IFERROR(INDEX(Equipment!$E$5:$E$500,MATCH($A98,Equipment!$S$5:$S$500,0))&amp;"",""))</f>
        <v/>
      </c>
      <c r="E98" s="0" t="str">
        <f aca="false">IF($A98="","",IFERROR(INDEX(Equipment!$F$5:$F$500,MATCH($A98,Equipment!$S$5:$S$500,0))&amp;"",""))</f>
        <v/>
      </c>
      <c r="F98" s="0" t="str">
        <f aca="false">IF($A98="","",IFERROR(INDEX(Equipment!$G$5:$G$500,MATCH($A98,Equipment!$S$5:$S$500,0))&amp;"",""))</f>
        <v/>
      </c>
      <c r="G98" s="0" t="str">
        <f aca="false">IF($A98="","",IFERROR(INDEX(Equipment!$H$5:$H$500,MATCH($A98,Equipment!$S$5:$S$500,0))&amp;"",""))</f>
        <v/>
      </c>
      <c r="H98" s="0" t="str">
        <f aca="false">IF($A98="","",IFERROR(INDEX(Equipment!$J$5:$J$500,MATCH($A98,Equipment!$S$5:$S$500,0))&amp;"",""))</f>
        <v/>
      </c>
      <c r="I98" s="0" t="str">
        <f aca="false">IF($A98="","",IFERROR(INDEX(Equipment!$K$5:$K$500,MATCH($A98,Equipment!$S$5:$S$500,0))&amp;"",""))</f>
        <v/>
      </c>
      <c r="J98" s="0" t="str">
        <f aca="false">IF($A98="","",IFERROR(INDEX(Equipment!$L$5:$L$500,MATCH($A98,Equipment!$S$5:$S$500,0))&amp;"",""))</f>
        <v/>
      </c>
      <c r="K98" s="0" t="str">
        <f aca="false">IF($A98="","",IFERROR(INDEX(Equipment!$Q$5:$Q$500,MATCH($A98,Equipment!$S$5:$S$500,0))&amp;"",""))</f>
        <v/>
      </c>
    </row>
    <row r="99" customFormat="false" ht="15" hidden="false" customHeight="false" outlineLevel="0" collapsed="false">
      <c r="A99" s="0" t="str">
        <f aca="false">IF(91&gt;$C$6,"",91)</f>
        <v/>
      </c>
      <c r="B99" s="0" t="str">
        <f aca="false">IF($A99="","",IFERROR(INDEX(Equipment!$A$5:$A$500,MATCH($A99,Equipment!$S$5:$S$500,0))&amp;"",""))</f>
        <v/>
      </c>
      <c r="C99" s="0" t="str">
        <f aca="false">IF($A99="","",IFERROR(INDEX(Equipment!$B$5:$B$500,MATCH($A99,Equipment!$S$5:$S$500,0))&amp;"",""))</f>
        <v/>
      </c>
      <c r="D99" s="0" t="str">
        <f aca="false">IF($A99="","",IFERROR(INDEX(Equipment!$E$5:$E$500,MATCH($A99,Equipment!$S$5:$S$500,0))&amp;"",""))</f>
        <v/>
      </c>
      <c r="E99" s="0" t="str">
        <f aca="false">IF($A99="","",IFERROR(INDEX(Equipment!$F$5:$F$500,MATCH($A99,Equipment!$S$5:$S$500,0))&amp;"",""))</f>
        <v/>
      </c>
      <c r="F99" s="0" t="str">
        <f aca="false">IF($A99="","",IFERROR(INDEX(Equipment!$G$5:$G$500,MATCH($A99,Equipment!$S$5:$S$500,0))&amp;"",""))</f>
        <v/>
      </c>
      <c r="G99" s="0" t="str">
        <f aca="false">IF($A99="","",IFERROR(INDEX(Equipment!$H$5:$H$500,MATCH($A99,Equipment!$S$5:$S$500,0))&amp;"",""))</f>
        <v/>
      </c>
      <c r="H99" s="0" t="str">
        <f aca="false">IF($A99="","",IFERROR(INDEX(Equipment!$J$5:$J$500,MATCH($A99,Equipment!$S$5:$S$500,0))&amp;"",""))</f>
        <v/>
      </c>
      <c r="I99" s="0" t="str">
        <f aca="false">IF($A99="","",IFERROR(INDEX(Equipment!$K$5:$K$500,MATCH($A99,Equipment!$S$5:$S$500,0))&amp;"",""))</f>
        <v/>
      </c>
      <c r="J99" s="0" t="str">
        <f aca="false">IF($A99="","",IFERROR(INDEX(Equipment!$L$5:$L$500,MATCH($A99,Equipment!$S$5:$S$500,0))&amp;"",""))</f>
        <v/>
      </c>
      <c r="K99" s="0" t="str">
        <f aca="false">IF($A99="","",IFERROR(INDEX(Equipment!$Q$5:$Q$500,MATCH($A99,Equipment!$S$5:$S$500,0))&amp;"",""))</f>
        <v/>
      </c>
    </row>
    <row r="100" customFormat="false" ht="15" hidden="false" customHeight="false" outlineLevel="0" collapsed="false">
      <c r="A100" s="0" t="str">
        <f aca="false">IF(92&gt;$C$6,"",92)</f>
        <v/>
      </c>
      <c r="B100" s="0" t="str">
        <f aca="false">IF($A100="","",IFERROR(INDEX(Equipment!$A$5:$A$500,MATCH($A100,Equipment!$S$5:$S$500,0))&amp;"",""))</f>
        <v/>
      </c>
      <c r="C100" s="0" t="str">
        <f aca="false">IF($A100="","",IFERROR(INDEX(Equipment!$B$5:$B$500,MATCH($A100,Equipment!$S$5:$S$500,0))&amp;"",""))</f>
        <v/>
      </c>
      <c r="D100" s="0" t="str">
        <f aca="false">IF($A100="","",IFERROR(INDEX(Equipment!$E$5:$E$500,MATCH($A100,Equipment!$S$5:$S$500,0))&amp;"",""))</f>
        <v/>
      </c>
      <c r="E100" s="0" t="str">
        <f aca="false">IF($A100="","",IFERROR(INDEX(Equipment!$F$5:$F$500,MATCH($A100,Equipment!$S$5:$S$500,0))&amp;"",""))</f>
        <v/>
      </c>
      <c r="F100" s="0" t="str">
        <f aca="false">IF($A100="","",IFERROR(INDEX(Equipment!$G$5:$G$500,MATCH($A100,Equipment!$S$5:$S$500,0))&amp;"",""))</f>
        <v/>
      </c>
      <c r="G100" s="0" t="str">
        <f aca="false">IF($A100="","",IFERROR(INDEX(Equipment!$H$5:$H$500,MATCH($A100,Equipment!$S$5:$S$500,0))&amp;"",""))</f>
        <v/>
      </c>
      <c r="H100" s="0" t="str">
        <f aca="false">IF($A100="","",IFERROR(INDEX(Equipment!$J$5:$J$500,MATCH($A100,Equipment!$S$5:$S$500,0))&amp;"",""))</f>
        <v/>
      </c>
      <c r="I100" s="0" t="str">
        <f aca="false">IF($A100="","",IFERROR(INDEX(Equipment!$K$5:$K$500,MATCH($A100,Equipment!$S$5:$S$500,0))&amp;"",""))</f>
        <v/>
      </c>
      <c r="J100" s="0" t="str">
        <f aca="false">IF($A100="","",IFERROR(INDEX(Equipment!$L$5:$L$500,MATCH($A100,Equipment!$S$5:$S$500,0))&amp;"",""))</f>
        <v/>
      </c>
      <c r="K100" s="0" t="str">
        <f aca="false">IF($A100="","",IFERROR(INDEX(Equipment!$Q$5:$Q$500,MATCH($A100,Equipment!$S$5:$S$500,0))&amp;"",""))</f>
        <v/>
      </c>
    </row>
    <row r="101" customFormat="false" ht="15" hidden="false" customHeight="false" outlineLevel="0" collapsed="false">
      <c r="A101" s="0" t="str">
        <f aca="false">IF(93&gt;$C$6,"",93)</f>
        <v/>
      </c>
      <c r="B101" s="0" t="str">
        <f aca="false">IF($A101="","",IFERROR(INDEX(Equipment!$A$5:$A$500,MATCH($A101,Equipment!$S$5:$S$500,0))&amp;"",""))</f>
        <v/>
      </c>
      <c r="C101" s="0" t="str">
        <f aca="false">IF($A101="","",IFERROR(INDEX(Equipment!$B$5:$B$500,MATCH($A101,Equipment!$S$5:$S$500,0))&amp;"",""))</f>
        <v/>
      </c>
      <c r="D101" s="0" t="str">
        <f aca="false">IF($A101="","",IFERROR(INDEX(Equipment!$E$5:$E$500,MATCH($A101,Equipment!$S$5:$S$500,0))&amp;"",""))</f>
        <v/>
      </c>
      <c r="E101" s="0" t="str">
        <f aca="false">IF($A101="","",IFERROR(INDEX(Equipment!$F$5:$F$500,MATCH($A101,Equipment!$S$5:$S$500,0))&amp;"",""))</f>
        <v/>
      </c>
      <c r="F101" s="0" t="str">
        <f aca="false">IF($A101="","",IFERROR(INDEX(Equipment!$G$5:$G$500,MATCH($A101,Equipment!$S$5:$S$500,0))&amp;"",""))</f>
        <v/>
      </c>
      <c r="G101" s="0" t="str">
        <f aca="false">IF($A101="","",IFERROR(INDEX(Equipment!$H$5:$H$500,MATCH($A101,Equipment!$S$5:$S$500,0))&amp;"",""))</f>
        <v/>
      </c>
      <c r="H101" s="0" t="str">
        <f aca="false">IF($A101="","",IFERROR(INDEX(Equipment!$J$5:$J$500,MATCH($A101,Equipment!$S$5:$S$500,0))&amp;"",""))</f>
        <v/>
      </c>
      <c r="I101" s="0" t="str">
        <f aca="false">IF($A101="","",IFERROR(INDEX(Equipment!$K$5:$K$500,MATCH($A101,Equipment!$S$5:$S$500,0))&amp;"",""))</f>
        <v/>
      </c>
      <c r="J101" s="0" t="str">
        <f aca="false">IF($A101="","",IFERROR(INDEX(Equipment!$L$5:$L$500,MATCH($A101,Equipment!$S$5:$S$500,0))&amp;"",""))</f>
        <v/>
      </c>
      <c r="K101" s="0" t="str">
        <f aca="false">IF($A101="","",IFERROR(INDEX(Equipment!$Q$5:$Q$500,MATCH($A101,Equipment!$S$5:$S$500,0))&amp;"",""))</f>
        <v/>
      </c>
    </row>
    <row r="102" customFormat="false" ht="15" hidden="false" customHeight="false" outlineLevel="0" collapsed="false">
      <c r="A102" s="0" t="str">
        <f aca="false">IF(94&gt;$C$6,"",94)</f>
        <v/>
      </c>
      <c r="B102" s="0" t="str">
        <f aca="false">IF($A102="","",IFERROR(INDEX(Equipment!$A$5:$A$500,MATCH($A102,Equipment!$S$5:$S$500,0))&amp;"",""))</f>
        <v/>
      </c>
      <c r="C102" s="0" t="str">
        <f aca="false">IF($A102="","",IFERROR(INDEX(Equipment!$B$5:$B$500,MATCH($A102,Equipment!$S$5:$S$500,0))&amp;"",""))</f>
        <v/>
      </c>
      <c r="D102" s="0" t="str">
        <f aca="false">IF($A102="","",IFERROR(INDEX(Equipment!$E$5:$E$500,MATCH($A102,Equipment!$S$5:$S$500,0))&amp;"",""))</f>
        <v/>
      </c>
      <c r="E102" s="0" t="str">
        <f aca="false">IF($A102="","",IFERROR(INDEX(Equipment!$F$5:$F$500,MATCH($A102,Equipment!$S$5:$S$500,0))&amp;"",""))</f>
        <v/>
      </c>
      <c r="F102" s="0" t="str">
        <f aca="false">IF($A102="","",IFERROR(INDEX(Equipment!$G$5:$G$500,MATCH($A102,Equipment!$S$5:$S$500,0))&amp;"",""))</f>
        <v/>
      </c>
      <c r="G102" s="0" t="str">
        <f aca="false">IF($A102="","",IFERROR(INDEX(Equipment!$H$5:$H$500,MATCH($A102,Equipment!$S$5:$S$500,0))&amp;"",""))</f>
        <v/>
      </c>
      <c r="H102" s="0" t="str">
        <f aca="false">IF($A102="","",IFERROR(INDEX(Equipment!$J$5:$J$500,MATCH($A102,Equipment!$S$5:$S$500,0))&amp;"",""))</f>
        <v/>
      </c>
      <c r="I102" s="0" t="str">
        <f aca="false">IF($A102="","",IFERROR(INDEX(Equipment!$K$5:$K$500,MATCH($A102,Equipment!$S$5:$S$500,0))&amp;"",""))</f>
        <v/>
      </c>
      <c r="J102" s="0" t="str">
        <f aca="false">IF($A102="","",IFERROR(INDEX(Equipment!$L$5:$L$500,MATCH($A102,Equipment!$S$5:$S$500,0))&amp;"",""))</f>
        <v/>
      </c>
      <c r="K102" s="0" t="str">
        <f aca="false">IF($A102="","",IFERROR(INDEX(Equipment!$Q$5:$Q$500,MATCH($A102,Equipment!$S$5:$S$500,0))&amp;"",""))</f>
        <v/>
      </c>
    </row>
    <row r="103" customFormat="false" ht="15" hidden="false" customHeight="false" outlineLevel="0" collapsed="false">
      <c r="A103" s="0" t="str">
        <f aca="false">IF(95&gt;$C$6,"",95)</f>
        <v/>
      </c>
      <c r="B103" s="0" t="str">
        <f aca="false">IF($A103="","",IFERROR(INDEX(Equipment!$A$5:$A$500,MATCH($A103,Equipment!$S$5:$S$500,0))&amp;"",""))</f>
        <v/>
      </c>
      <c r="C103" s="0" t="str">
        <f aca="false">IF($A103="","",IFERROR(INDEX(Equipment!$B$5:$B$500,MATCH($A103,Equipment!$S$5:$S$500,0))&amp;"",""))</f>
        <v/>
      </c>
      <c r="D103" s="0" t="str">
        <f aca="false">IF($A103="","",IFERROR(INDEX(Equipment!$E$5:$E$500,MATCH($A103,Equipment!$S$5:$S$500,0))&amp;"",""))</f>
        <v/>
      </c>
      <c r="E103" s="0" t="str">
        <f aca="false">IF($A103="","",IFERROR(INDEX(Equipment!$F$5:$F$500,MATCH($A103,Equipment!$S$5:$S$500,0))&amp;"",""))</f>
        <v/>
      </c>
      <c r="F103" s="0" t="str">
        <f aca="false">IF($A103="","",IFERROR(INDEX(Equipment!$G$5:$G$500,MATCH($A103,Equipment!$S$5:$S$500,0))&amp;"",""))</f>
        <v/>
      </c>
      <c r="G103" s="0" t="str">
        <f aca="false">IF($A103="","",IFERROR(INDEX(Equipment!$H$5:$H$500,MATCH($A103,Equipment!$S$5:$S$500,0))&amp;"",""))</f>
        <v/>
      </c>
      <c r="H103" s="0" t="str">
        <f aca="false">IF($A103="","",IFERROR(INDEX(Equipment!$J$5:$J$500,MATCH($A103,Equipment!$S$5:$S$500,0))&amp;"",""))</f>
        <v/>
      </c>
      <c r="I103" s="0" t="str">
        <f aca="false">IF($A103="","",IFERROR(INDEX(Equipment!$K$5:$K$500,MATCH($A103,Equipment!$S$5:$S$500,0))&amp;"",""))</f>
        <v/>
      </c>
      <c r="J103" s="0" t="str">
        <f aca="false">IF($A103="","",IFERROR(INDEX(Equipment!$L$5:$L$500,MATCH($A103,Equipment!$S$5:$S$500,0))&amp;"",""))</f>
        <v/>
      </c>
      <c r="K103" s="0" t="str">
        <f aca="false">IF($A103="","",IFERROR(INDEX(Equipment!$Q$5:$Q$500,MATCH($A103,Equipment!$S$5:$S$500,0))&amp;"",""))</f>
        <v/>
      </c>
    </row>
    <row r="104" customFormat="false" ht="15" hidden="false" customHeight="false" outlineLevel="0" collapsed="false">
      <c r="A104" s="0" t="str">
        <f aca="false">IF(96&gt;$C$6,"",96)</f>
        <v/>
      </c>
      <c r="B104" s="0" t="str">
        <f aca="false">IF($A104="","",IFERROR(INDEX(Equipment!$A$5:$A$500,MATCH($A104,Equipment!$S$5:$S$500,0))&amp;"",""))</f>
        <v/>
      </c>
      <c r="C104" s="0" t="str">
        <f aca="false">IF($A104="","",IFERROR(INDEX(Equipment!$B$5:$B$500,MATCH($A104,Equipment!$S$5:$S$500,0))&amp;"",""))</f>
        <v/>
      </c>
      <c r="D104" s="0" t="str">
        <f aca="false">IF($A104="","",IFERROR(INDEX(Equipment!$E$5:$E$500,MATCH($A104,Equipment!$S$5:$S$500,0))&amp;"",""))</f>
        <v/>
      </c>
      <c r="E104" s="0" t="str">
        <f aca="false">IF($A104="","",IFERROR(INDEX(Equipment!$F$5:$F$500,MATCH($A104,Equipment!$S$5:$S$500,0))&amp;"",""))</f>
        <v/>
      </c>
      <c r="F104" s="0" t="str">
        <f aca="false">IF($A104="","",IFERROR(INDEX(Equipment!$G$5:$G$500,MATCH($A104,Equipment!$S$5:$S$500,0))&amp;"",""))</f>
        <v/>
      </c>
      <c r="G104" s="0" t="str">
        <f aca="false">IF($A104="","",IFERROR(INDEX(Equipment!$H$5:$H$500,MATCH($A104,Equipment!$S$5:$S$500,0))&amp;"",""))</f>
        <v/>
      </c>
      <c r="H104" s="0" t="str">
        <f aca="false">IF($A104="","",IFERROR(INDEX(Equipment!$J$5:$J$500,MATCH($A104,Equipment!$S$5:$S$500,0))&amp;"",""))</f>
        <v/>
      </c>
      <c r="I104" s="0" t="str">
        <f aca="false">IF($A104="","",IFERROR(INDEX(Equipment!$K$5:$K$500,MATCH($A104,Equipment!$S$5:$S$500,0))&amp;"",""))</f>
        <v/>
      </c>
      <c r="J104" s="0" t="str">
        <f aca="false">IF($A104="","",IFERROR(INDEX(Equipment!$L$5:$L$500,MATCH($A104,Equipment!$S$5:$S$500,0))&amp;"",""))</f>
        <v/>
      </c>
      <c r="K104" s="0" t="str">
        <f aca="false">IF($A104="","",IFERROR(INDEX(Equipment!$Q$5:$Q$500,MATCH($A104,Equipment!$S$5:$S$500,0))&amp;"",""))</f>
        <v/>
      </c>
    </row>
    <row r="105" customFormat="false" ht="15" hidden="false" customHeight="false" outlineLevel="0" collapsed="false">
      <c r="A105" s="0" t="str">
        <f aca="false">IF(97&gt;$C$6,"",97)</f>
        <v/>
      </c>
      <c r="B105" s="0" t="str">
        <f aca="false">IF($A105="","",IFERROR(INDEX(Equipment!$A$5:$A$500,MATCH($A105,Equipment!$S$5:$S$500,0))&amp;"",""))</f>
        <v/>
      </c>
      <c r="C105" s="0" t="str">
        <f aca="false">IF($A105="","",IFERROR(INDEX(Equipment!$B$5:$B$500,MATCH($A105,Equipment!$S$5:$S$500,0))&amp;"",""))</f>
        <v/>
      </c>
      <c r="D105" s="0" t="str">
        <f aca="false">IF($A105="","",IFERROR(INDEX(Equipment!$E$5:$E$500,MATCH($A105,Equipment!$S$5:$S$500,0))&amp;"",""))</f>
        <v/>
      </c>
      <c r="E105" s="0" t="str">
        <f aca="false">IF($A105="","",IFERROR(INDEX(Equipment!$F$5:$F$500,MATCH($A105,Equipment!$S$5:$S$500,0))&amp;"",""))</f>
        <v/>
      </c>
      <c r="F105" s="0" t="str">
        <f aca="false">IF($A105="","",IFERROR(INDEX(Equipment!$G$5:$G$500,MATCH($A105,Equipment!$S$5:$S$500,0))&amp;"",""))</f>
        <v/>
      </c>
      <c r="G105" s="0" t="str">
        <f aca="false">IF($A105="","",IFERROR(INDEX(Equipment!$H$5:$H$500,MATCH($A105,Equipment!$S$5:$S$500,0))&amp;"",""))</f>
        <v/>
      </c>
      <c r="H105" s="0" t="str">
        <f aca="false">IF($A105="","",IFERROR(INDEX(Equipment!$J$5:$J$500,MATCH($A105,Equipment!$S$5:$S$500,0))&amp;"",""))</f>
        <v/>
      </c>
      <c r="I105" s="0" t="str">
        <f aca="false">IF($A105="","",IFERROR(INDEX(Equipment!$K$5:$K$500,MATCH($A105,Equipment!$S$5:$S$500,0))&amp;"",""))</f>
        <v/>
      </c>
      <c r="J105" s="0" t="str">
        <f aca="false">IF($A105="","",IFERROR(INDEX(Equipment!$L$5:$L$500,MATCH($A105,Equipment!$S$5:$S$500,0))&amp;"",""))</f>
        <v/>
      </c>
      <c r="K105" s="0" t="str">
        <f aca="false">IF($A105="","",IFERROR(INDEX(Equipment!$Q$5:$Q$500,MATCH($A105,Equipment!$S$5:$S$500,0))&amp;"",""))</f>
        <v/>
      </c>
    </row>
    <row r="106" customFormat="false" ht="15" hidden="false" customHeight="false" outlineLevel="0" collapsed="false">
      <c r="A106" s="0" t="str">
        <f aca="false">IF(98&gt;$C$6,"",98)</f>
        <v/>
      </c>
      <c r="B106" s="0" t="str">
        <f aca="false">IF($A106="","",IFERROR(INDEX(Equipment!$A$5:$A$500,MATCH($A106,Equipment!$S$5:$S$500,0))&amp;"",""))</f>
        <v/>
      </c>
      <c r="C106" s="0" t="str">
        <f aca="false">IF($A106="","",IFERROR(INDEX(Equipment!$B$5:$B$500,MATCH($A106,Equipment!$S$5:$S$500,0))&amp;"",""))</f>
        <v/>
      </c>
      <c r="D106" s="0" t="str">
        <f aca="false">IF($A106="","",IFERROR(INDEX(Equipment!$E$5:$E$500,MATCH($A106,Equipment!$S$5:$S$500,0))&amp;"",""))</f>
        <v/>
      </c>
      <c r="E106" s="0" t="str">
        <f aca="false">IF($A106="","",IFERROR(INDEX(Equipment!$F$5:$F$500,MATCH($A106,Equipment!$S$5:$S$500,0))&amp;"",""))</f>
        <v/>
      </c>
      <c r="F106" s="0" t="str">
        <f aca="false">IF($A106="","",IFERROR(INDEX(Equipment!$G$5:$G$500,MATCH($A106,Equipment!$S$5:$S$500,0))&amp;"",""))</f>
        <v/>
      </c>
      <c r="G106" s="0" t="str">
        <f aca="false">IF($A106="","",IFERROR(INDEX(Equipment!$H$5:$H$500,MATCH($A106,Equipment!$S$5:$S$500,0))&amp;"",""))</f>
        <v/>
      </c>
      <c r="H106" s="0" t="str">
        <f aca="false">IF($A106="","",IFERROR(INDEX(Equipment!$J$5:$J$500,MATCH($A106,Equipment!$S$5:$S$500,0))&amp;"",""))</f>
        <v/>
      </c>
      <c r="I106" s="0" t="str">
        <f aca="false">IF($A106="","",IFERROR(INDEX(Equipment!$K$5:$K$500,MATCH($A106,Equipment!$S$5:$S$500,0))&amp;"",""))</f>
        <v/>
      </c>
      <c r="J106" s="0" t="str">
        <f aca="false">IF($A106="","",IFERROR(INDEX(Equipment!$L$5:$L$500,MATCH($A106,Equipment!$S$5:$S$500,0))&amp;"",""))</f>
        <v/>
      </c>
      <c r="K106" s="0" t="str">
        <f aca="false">IF($A106="","",IFERROR(INDEX(Equipment!$Q$5:$Q$500,MATCH($A106,Equipment!$S$5:$S$500,0))&amp;"",""))</f>
        <v/>
      </c>
    </row>
    <row r="107" customFormat="false" ht="15" hidden="false" customHeight="false" outlineLevel="0" collapsed="false">
      <c r="A107" s="0" t="str">
        <f aca="false">IF(99&gt;$C$6,"",99)</f>
        <v/>
      </c>
      <c r="B107" s="0" t="str">
        <f aca="false">IF($A107="","",IFERROR(INDEX(Equipment!$A$5:$A$500,MATCH($A107,Equipment!$S$5:$S$500,0))&amp;"",""))</f>
        <v/>
      </c>
      <c r="C107" s="0" t="str">
        <f aca="false">IF($A107="","",IFERROR(INDEX(Equipment!$B$5:$B$500,MATCH($A107,Equipment!$S$5:$S$500,0))&amp;"",""))</f>
        <v/>
      </c>
      <c r="D107" s="0" t="str">
        <f aca="false">IF($A107="","",IFERROR(INDEX(Equipment!$E$5:$E$500,MATCH($A107,Equipment!$S$5:$S$500,0))&amp;"",""))</f>
        <v/>
      </c>
      <c r="E107" s="0" t="str">
        <f aca="false">IF($A107="","",IFERROR(INDEX(Equipment!$F$5:$F$500,MATCH($A107,Equipment!$S$5:$S$500,0))&amp;"",""))</f>
        <v/>
      </c>
      <c r="F107" s="0" t="str">
        <f aca="false">IF($A107="","",IFERROR(INDEX(Equipment!$G$5:$G$500,MATCH($A107,Equipment!$S$5:$S$500,0))&amp;"",""))</f>
        <v/>
      </c>
      <c r="G107" s="0" t="str">
        <f aca="false">IF($A107="","",IFERROR(INDEX(Equipment!$H$5:$H$500,MATCH($A107,Equipment!$S$5:$S$500,0))&amp;"",""))</f>
        <v/>
      </c>
      <c r="H107" s="0" t="str">
        <f aca="false">IF($A107="","",IFERROR(INDEX(Equipment!$J$5:$J$500,MATCH($A107,Equipment!$S$5:$S$500,0))&amp;"",""))</f>
        <v/>
      </c>
      <c r="I107" s="0" t="str">
        <f aca="false">IF($A107="","",IFERROR(INDEX(Equipment!$K$5:$K$500,MATCH($A107,Equipment!$S$5:$S$500,0))&amp;"",""))</f>
        <v/>
      </c>
      <c r="J107" s="0" t="str">
        <f aca="false">IF($A107="","",IFERROR(INDEX(Equipment!$L$5:$L$500,MATCH($A107,Equipment!$S$5:$S$500,0))&amp;"",""))</f>
        <v/>
      </c>
      <c r="K107" s="0" t="str">
        <f aca="false">IF($A107="","",IFERROR(INDEX(Equipment!$Q$5:$Q$500,MATCH($A107,Equipment!$S$5:$S$500,0))&amp;"",""))</f>
        <v/>
      </c>
    </row>
    <row r="108" customFormat="false" ht="15" hidden="false" customHeight="false" outlineLevel="0" collapsed="false">
      <c r="A108" s="0" t="str">
        <f aca="false">IF(100&gt;$C$6,"",100)</f>
        <v/>
      </c>
      <c r="B108" s="0" t="str">
        <f aca="false">IF($A108="","",IFERROR(INDEX(Equipment!$A$5:$A$500,MATCH($A108,Equipment!$S$5:$S$500,0))&amp;"",""))</f>
        <v/>
      </c>
      <c r="C108" s="0" t="str">
        <f aca="false">IF($A108="","",IFERROR(INDEX(Equipment!$B$5:$B$500,MATCH($A108,Equipment!$S$5:$S$500,0))&amp;"",""))</f>
        <v/>
      </c>
      <c r="D108" s="0" t="str">
        <f aca="false">IF($A108="","",IFERROR(INDEX(Equipment!$E$5:$E$500,MATCH($A108,Equipment!$S$5:$S$500,0))&amp;"",""))</f>
        <v/>
      </c>
      <c r="E108" s="0" t="str">
        <f aca="false">IF($A108="","",IFERROR(INDEX(Equipment!$F$5:$F$500,MATCH($A108,Equipment!$S$5:$S$500,0))&amp;"",""))</f>
        <v/>
      </c>
      <c r="F108" s="0" t="str">
        <f aca="false">IF($A108="","",IFERROR(INDEX(Equipment!$G$5:$G$500,MATCH($A108,Equipment!$S$5:$S$500,0))&amp;"",""))</f>
        <v/>
      </c>
      <c r="G108" s="0" t="str">
        <f aca="false">IF($A108="","",IFERROR(INDEX(Equipment!$H$5:$H$500,MATCH($A108,Equipment!$S$5:$S$500,0))&amp;"",""))</f>
        <v/>
      </c>
      <c r="H108" s="0" t="str">
        <f aca="false">IF($A108="","",IFERROR(INDEX(Equipment!$J$5:$J$500,MATCH($A108,Equipment!$S$5:$S$500,0))&amp;"",""))</f>
        <v/>
      </c>
      <c r="I108" s="0" t="str">
        <f aca="false">IF($A108="","",IFERROR(INDEX(Equipment!$K$5:$K$500,MATCH($A108,Equipment!$S$5:$S$500,0))&amp;"",""))</f>
        <v/>
      </c>
      <c r="J108" s="0" t="str">
        <f aca="false">IF($A108="","",IFERROR(INDEX(Equipment!$L$5:$L$500,MATCH($A108,Equipment!$S$5:$S$500,0))&amp;"",""))</f>
        <v/>
      </c>
      <c r="K108" s="0" t="str">
        <f aca="false">IF($A108="","",IFERROR(INDEX(Equipment!$Q$5:$Q$500,MATCH($A108,Equipment!$S$5:$S$500,0))&amp;"",""))</f>
        <v/>
      </c>
    </row>
    <row r="109" customFormat="false" ht="15" hidden="false" customHeight="false" outlineLevel="0" collapsed="false">
      <c r="A109" s="0" t="str">
        <f aca="false">IF(101&gt;$C$6,"",101)</f>
        <v/>
      </c>
      <c r="B109" s="0" t="str">
        <f aca="false">IF($A109="","",IFERROR(INDEX(Equipment!$A$5:$A$500,MATCH($A109,Equipment!$S$5:$S$500,0))&amp;"",""))</f>
        <v/>
      </c>
      <c r="C109" s="0" t="str">
        <f aca="false">IF($A109="","",IFERROR(INDEX(Equipment!$B$5:$B$500,MATCH($A109,Equipment!$S$5:$S$500,0))&amp;"",""))</f>
        <v/>
      </c>
      <c r="D109" s="0" t="str">
        <f aca="false">IF($A109="","",IFERROR(INDEX(Equipment!$E$5:$E$500,MATCH($A109,Equipment!$S$5:$S$500,0))&amp;"",""))</f>
        <v/>
      </c>
      <c r="E109" s="0" t="str">
        <f aca="false">IF($A109="","",IFERROR(INDEX(Equipment!$F$5:$F$500,MATCH($A109,Equipment!$S$5:$S$500,0))&amp;"",""))</f>
        <v/>
      </c>
      <c r="F109" s="0" t="str">
        <f aca="false">IF($A109="","",IFERROR(INDEX(Equipment!$G$5:$G$500,MATCH($A109,Equipment!$S$5:$S$500,0))&amp;"",""))</f>
        <v/>
      </c>
      <c r="G109" s="0" t="str">
        <f aca="false">IF($A109="","",IFERROR(INDEX(Equipment!$H$5:$H$500,MATCH($A109,Equipment!$S$5:$S$500,0))&amp;"",""))</f>
        <v/>
      </c>
      <c r="H109" s="0" t="str">
        <f aca="false">IF($A109="","",IFERROR(INDEX(Equipment!$J$5:$J$500,MATCH($A109,Equipment!$S$5:$S$500,0))&amp;"",""))</f>
        <v/>
      </c>
      <c r="I109" s="0" t="str">
        <f aca="false">IF($A109="","",IFERROR(INDEX(Equipment!$K$5:$K$500,MATCH($A109,Equipment!$S$5:$S$500,0))&amp;"",""))</f>
        <v/>
      </c>
      <c r="J109" s="0" t="str">
        <f aca="false">IF($A109="","",IFERROR(INDEX(Equipment!$L$5:$L$500,MATCH($A109,Equipment!$S$5:$S$500,0))&amp;"",""))</f>
        <v/>
      </c>
      <c r="K109" s="0" t="str">
        <f aca="false">IF($A109="","",IFERROR(INDEX(Equipment!$Q$5:$Q$500,MATCH($A109,Equipment!$S$5:$S$500,0))&amp;"",""))</f>
        <v/>
      </c>
    </row>
    <row r="110" customFormat="false" ht="15" hidden="false" customHeight="false" outlineLevel="0" collapsed="false">
      <c r="A110" s="0" t="str">
        <f aca="false">IF(102&gt;$C$6,"",102)</f>
        <v/>
      </c>
      <c r="B110" s="0" t="str">
        <f aca="false">IF($A110="","",IFERROR(INDEX(Equipment!$A$5:$A$500,MATCH($A110,Equipment!$S$5:$S$500,0))&amp;"",""))</f>
        <v/>
      </c>
      <c r="C110" s="0" t="str">
        <f aca="false">IF($A110="","",IFERROR(INDEX(Equipment!$B$5:$B$500,MATCH($A110,Equipment!$S$5:$S$500,0))&amp;"",""))</f>
        <v/>
      </c>
      <c r="D110" s="0" t="str">
        <f aca="false">IF($A110="","",IFERROR(INDEX(Equipment!$E$5:$E$500,MATCH($A110,Equipment!$S$5:$S$500,0))&amp;"",""))</f>
        <v/>
      </c>
      <c r="E110" s="0" t="str">
        <f aca="false">IF($A110="","",IFERROR(INDEX(Equipment!$F$5:$F$500,MATCH($A110,Equipment!$S$5:$S$500,0))&amp;"",""))</f>
        <v/>
      </c>
      <c r="F110" s="0" t="str">
        <f aca="false">IF($A110="","",IFERROR(INDEX(Equipment!$G$5:$G$500,MATCH($A110,Equipment!$S$5:$S$500,0))&amp;"",""))</f>
        <v/>
      </c>
      <c r="G110" s="0" t="str">
        <f aca="false">IF($A110="","",IFERROR(INDEX(Equipment!$H$5:$H$500,MATCH($A110,Equipment!$S$5:$S$500,0))&amp;"",""))</f>
        <v/>
      </c>
      <c r="H110" s="0" t="str">
        <f aca="false">IF($A110="","",IFERROR(INDEX(Equipment!$J$5:$J$500,MATCH($A110,Equipment!$S$5:$S$500,0))&amp;"",""))</f>
        <v/>
      </c>
      <c r="I110" s="0" t="str">
        <f aca="false">IF($A110="","",IFERROR(INDEX(Equipment!$K$5:$K$500,MATCH($A110,Equipment!$S$5:$S$500,0))&amp;"",""))</f>
        <v/>
      </c>
      <c r="J110" s="0" t="str">
        <f aca="false">IF($A110="","",IFERROR(INDEX(Equipment!$L$5:$L$500,MATCH($A110,Equipment!$S$5:$S$500,0))&amp;"",""))</f>
        <v/>
      </c>
      <c r="K110" s="0" t="str">
        <f aca="false">IF($A110="","",IFERROR(INDEX(Equipment!$Q$5:$Q$500,MATCH($A110,Equipment!$S$5:$S$500,0))&amp;"",""))</f>
        <v/>
      </c>
    </row>
    <row r="111" customFormat="false" ht="15" hidden="false" customHeight="false" outlineLevel="0" collapsed="false">
      <c r="A111" s="0" t="str">
        <f aca="false">IF(103&gt;$C$6,"",103)</f>
        <v/>
      </c>
      <c r="B111" s="0" t="str">
        <f aca="false">IF($A111="","",IFERROR(INDEX(Equipment!$A$5:$A$500,MATCH($A111,Equipment!$S$5:$S$500,0))&amp;"",""))</f>
        <v/>
      </c>
      <c r="C111" s="0" t="str">
        <f aca="false">IF($A111="","",IFERROR(INDEX(Equipment!$B$5:$B$500,MATCH($A111,Equipment!$S$5:$S$500,0))&amp;"",""))</f>
        <v/>
      </c>
      <c r="D111" s="0" t="str">
        <f aca="false">IF($A111="","",IFERROR(INDEX(Equipment!$E$5:$E$500,MATCH($A111,Equipment!$S$5:$S$500,0))&amp;"",""))</f>
        <v/>
      </c>
      <c r="E111" s="0" t="str">
        <f aca="false">IF($A111="","",IFERROR(INDEX(Equipment!$F$5:$F$500,MATCH($A111,Equipment!$S$5:$S$500,0))&amp;"",""))</f>
        <v/>
      </c>
      <c r="F111" s="0" t="str">
        <f aca="false">IF($A111="","",IFERROR(INDEX(Equipment!$G$5:$G$500,MATCH($A111,Equipment!$S$5:$S$500,0))&amp;"",""))</f>
        <v/>
      </c>
      <c r="G111" s="0" t="str">
        <f aca="false">IF($A111="","",IFERROR(INDEX(Equipment!$H$5:$H$500,MATCH($A111,Equipment!$S$5:$S$500,0))&amp;"",""))</f>
        <v/>
      </c>
      <c r="H111" s="0" t="str">
        <f aca="false">IF($A111="","",IFERROR(INDEX(Equipment!$J$5:$J$500,MATCH($A111,Equipment!$S$5:$S$500,0))&amp;"",""))</f>
        <v/>
      </c>
      <c r="I111" s="0" t="str">
        <f aca="false">IF($A111="","",IFERROR(INDEX(Equipment!$K$5:$K$500,MATCH($A111,Equipment!$S$5:$S$500,0))&amp;"",""))</f>
        <v/>
      </c>
      <c r="J111" s="0" t="str">
        <f aca="false">IF($A111="","",IFERROR(INDEX(Equipment!$L$5:$L$500,MATCH($A111,Equipment!$S$5:$S$500,0))&amp;"",""))</f>
        <v/>
      </c>
      <c r="K111" s="0" t="str">
        <f aca="false">IF($A111="","",IFERROR(INDEX(Equipment!$Q$5:$Q$500,MATCH($A111,Equipment!$S$5:$S$500,0))&amp;"",""))</f>
        <v/>
      </c>
    </row>
    <row r="112" customFormat="false" ht="15" hidden="false" customHeight="false" outlineLevel="0" collapsed="false">
      <c r="A112" s="0" t="str">
        <f aca="false">IF(104&gt;$C$6,"",104)</f>
        <v/>
      </c>
      <c r="B112" s="0" t="str">
        <f aca="false">IF($A112="","",IFERROR(INDEX(Equipment!$A$5:$A$500,MATCH($A112,Equipment!$S$5:$S$500,0))&amp;"",""))</f>
        <v/>
      </c>
      <c r="C112" s="0" t="str">
        <f aca="false">IF($A112="","",IFERROR(INDEX(Equipment!$B$5:$B$500,MATCH($A112,Equipment!$S$5:$S$500,0))&amp;"",""))</f>
        <v/>
      </c>
      <c r="D112" s="0" t="str">
        <f aca="false">IF($A112="","",IFERROR(INDEX(Equipment!$E$5:$E$500,MATCH($A112,Equipment!$S$5:$S$500,0))&amp;"",""))</f>
        <v/>
      </c>
      <c r="E112" s="0" t="str">
        <f aca="false">IF($A112="","",IFERROR(INDEX(Equipment!$F$5:$F$500,MATCH($A112,Equipment!$S$5:$S$500,0))&amp;"",""))</f>
        <v/>
      </c>
      <c r="F112" s="0" t="str">
        <f aca="false">IF($A112="","",IFERROR(INDEX(Equipment!$G$5:$G$500,MATCH($A112,Equipment!$S$5:$S$500,0))&amp;"",""))</f>
        <v/>
      </c>
      <c r="G112" s="0" t="str">
        <f aca="false">IF($A112="","",IFERROR(INDEX(Equipment!$H$5:$H$500,MATCH($A112,Equipment!$S$5:$S$500,0))&amp;"",""))</f>
        <v/>
      </c>
      <c r="H112" s="0" t="str">
        <f aca="false">IF($A112="","",IFERROR(INDEX(Equipment!$J$5:$J$500,MATCH($A112,Equipment!$S$5:$S$500,0))&amp;"",""))</f>
        <v/>
      </c>
      <c r="I112" s="0" t="str">
        <f aca="false">IF($A112="","",IFERROR(INDEX(Equipment!$K$5:$K$500,MATCH($A112,Equipment!$S$5:$S$500,0))&amp;"",""))</f>
        <v/>
      </c>
      <c r="J112" s="0" t="str">
        <f aca="false">IF($A112="","",IFERROR(INDEX(Equipment!$L$5:$L$500,MATCH($A112,Equipment!$S$5:$S$500,0))&amp;"",""))</f>
        <v/>
      </c>
      <c r="K112" s="0" t="str">
        <f aca="false">IF($A112="","",IFERROR(INDEX(Equipment!$Q$5:$Q$500,MATCH($A112,Equipment!$S$5:$S$500,0))&amp;"",""))</f>
        <v/>
      </c>
    </row>
    <row r="113" customFormat="false" ht="15" hidden="false" customHeight="false" outlineLevel="0" collapsed="false">
      <c r="A113" s="0" t="str">
        <f aca="false">IF(105&gt;$C$6,"",105)</f>
        <v/>
      </c>
      <c r="B113" s="0" t="str">
        <f aca="false">IF($A113="","",IFERROR(INDEX(Equipment!$A$5:$A$500,MATCH($A113,Equipment!$S$5:$S$500,0))&amp;"",""))</f>
        <v/>
      </c>
      <c r="C113" s="0" t="str">
        <f aca="false">IF($A113="","",IFERROR(INDEX(Equipment!$B$5:$B$500,MATCH($A113,Equipment!$S$5:$S$500,0))&amp;"",""))</f>
        <v/>
      </c>
      <c r="D113" s="0" t="str">
        <f aca="false">IF($A113="","",IFERROR(INDEX(Equipment!$E$5:$E$500,MATCH($A113,Equipment!$S$5:$S$500,0))&amp;"",""))</f>
        <v/>
      </c>
      <c r="E113" s="0" t="str">
        <f aca="false">IF($A113="","",IFERROR(INDEX(Equipment!$F$5:$F$500,MATCH($A113,Equipment!$S$5:$S$500,0))&amp;"",""))</f>
        <v/>
      </c>
      <c r="F113" s="0" t="str">
        <f aca="false">IF($A113="","",IFERROR(INDEX(Equipment!$G$5:$G$500,MATCH($A113,Equipment!$S$5:$S$500,0))&amp;"",""))</f>
        <v/>
      </c>
      <c r="G113" s="0" t="str">
        <f aca="false">IF($A113="","",IFERROR(INDEX(Equipment!$H$5:$H$500,MATCH($A113,Equipment!$S$5:$S$500,0))&amp;"",""))</f>
        <v/>
      </c>
      <c r="H113" s="0" t="str">
        <f aca="false">IF($A113="","",IFERROR(INDEX(Equipment!$J$5:$J$500,MATCH($A113,Equipment!$S$5:$S$500,0))&amp;"",""))</f>
        <v/>
      </c>
      <c r="I113" s="0" t="str">
        <f aca="false">IF($A113="","",IFERROR(INDEX(Equipment!$K$5:$K$500,MATCH($A113,Equipment!$S$5:$S$500,0))&amp;"",""))</f>
        <v/>
      </c>
      <c r="J113" s="0" t="str">
        <f aca="false">IF($A113="","",IFERROR(INDEX(Equipment!$L$5:$L$500,MATCH($A113,Equipment!$S$5:$S$500,0))&amp;"",""))</f>
        <v/>
      </c>
      <c r="K113" s="0" t="str">
        <f aca="false">IF($A113="","",IFERROR(INDEX(Equipment!$Q$5:$Q$500,MATCH($A113,Equipment!$S$5:$S$500,0))&amp;"",""))</f>
        <v/>
      </c>
    </row>
    <row r="114" customFormat="false" ht="15" hidden="false" customHeight="false" outlineLevel="0" collapsed="false">
      <c r="A114" s="0" t="str">
        <f aca="false">IF(106&gt;$C$6,"",106)</f>
        <v/>
      </c>
      <c r="B114" s="0" t="str">
        <f aca="false">IF($A114="","",IFERROR(INDEX(Equipment!$A$5:$A$500,MATCH($A114,Equipment!$S$5:$S$500,0))&amp;"",""))</f>
        <v/>
      </c>
      <c r="C114" s="0" t="str">
        <f aca="false">IF($A114="","",IFERROR(INDEX(Equipment!$B$5:$B$500,MATCH($A114,Equipment!$S$5:$S$500,0))&amp;"",""))</f>
        <v/>
      </c>
      <c r="D114" s="0" t="str">
        <f aca="false">IF($A114="","",IFERROR(INDEX(Equipment!$E$5:$E$500,MATCH($A114,Equipment!$S$5:$S$500,0))&amp;"",""))</f>
        <v/>
      </c>
      <c r="E114" s="0" t="str">
        <f aca="false">IF($A114="","",IFERROR(INDEX(Equipment!$F$5:$F$500,MATCH($A114,Equipment!$S$5:$S$500,0))&amp;"",""))</f>
        <v/>
      </c>
      <c r="F114" s="0" t="str">
        <f aca="false">IF($A114="","",IFERROR(INDEX(Equipment!$G$5:$G$500,MATCH($A114,Equipment!$S$5:$S$500,0))&amp;"",""))</f>
        <v/>
      </c>
      <c r="G114" s="0" t="str">
        <f aca="false">IF($A114="","",IFERROR(INDEX(Equipment!$H$5:$H$500,MATCH($A114,Equipment!$S$5:$S$500,0))&amp;"",""))</f>
        <v/>
      </c>
      <c r="H114" s="0" t="str">
        <f aca="false">IF($A114="","",IFERROR(INDEX(Equipment!$J$5:$J$500,MATCH($A114,Equipment!$S$5:$S$500,0))&amp;"",""))</f>
        <v/>
      </c>
      <c r="I114" s="0" t="str">
        <f aca="false">IF($A114="","",IFERROR(INDEX(Equipment!$K$5:$K$500,MATCH($A114,Equipment!$S$5:$S$500,0))&amp;"",""))</f>
        <v/>
      </c>
      <c r="J114" s="0" t="str">
        <f aca="false">IF($A114="","",IFERROR(INDEX(Equipment!$L$5:$L$500,MATCH($A114,Equipment!$S$5:$S$500,0))&amp;"",""))</f>
        <v/>
      </c>
      <c r="K114" s="0" t="str">
        <f aca="false">IF($A114="","",IFERROR(INDEX(Equipment!$Q$5:$Q$500,MATCH($A114,Equipment!$S$5:$S$500,0))&amp;"",""))</f>
        <v/>
      </c>
    </row>
    <row r="115" customFormat="false" ht="15" hidden="false" customHeight="false" outlineLevel="0" collapsed="false">
      <c r="A115" s="0" t="str">
        <f aca="false">IF(107&gt;$C$6,"",107)</f>
        <v/>
      </c>
      <c r="B115" s="0" t="str">
        <f aca="false">IF($A115="","",IFERROR(INDEX(Equipment!$A$5:$A$500,MATCH($A115,Equipment!$S$5:$S$500,0))&amp;"",""))</f>
        <v/>
      </c>
      <c r="C115" s="0" t="str">
        <f aca="false">IF($A115="","",IFERROR(INDEX(Equipment!$B$5:$B$500,MATCH($A115,Equipment!$S$5:$S$500,0))&amp;"",""))</f>
        <v/>
      </c>
      <c r="D115" s="0" t="str">
        <f aca="false">IF($A115="","",IFERROR(INDEX(Equipment!$E$5:$E$500,MATCH($A115,Equipment!$S$5:$S$500,0))&amp;"",""))</f>
        <v/>
      </c>
      <c r="E115" s="0" t="str">
        <f aca="false">IF($A115="","",IFERROR(INDEX(Equipment!$F$5:$F$500,MATCH($A115,Equipment!$S$5:$S$500,0))&amp;"",""))</f>
        <v/>
      </c>
      <c r="F115" s="0" t="str">
        <f aca="false">IF($A115="","",IFERROR(INDEX(Equipment!$G$5:$G$500,MATCH($A115,Equipment!$S$5:$S$500,0))&amp;"",""))</f>
        <v/>
      </c>
      <c r="G115" s="0" t="str">
        <f aca="false">IF($A115="","",IFERROR(INDEX(Equipment!$H$5:$H$500,MATCH($A115,Equipment!$S$5:$S$500,0))&amp;"",""))</f>
        <v/>
      </c>
      <c r="H115" s="0" t="str">
        <f aca="false">IF($A115="","",IFERROR(INDEX(Equipment!$J$5:$J$500,MATCH($A115,Equipment!$S$5:$S$500,0))&amp;"",""))</f>
        <v/>
      </c>
      <c r="I115" s="0" t="str">
        <f aca="false">IF($A115="","",IFERROR(INDEX(Equipment!$K$5:$K$500,MATCH($A115,Equipment!$S$5:$S$500,0))&amp;"",""))</f>
        <v/>
      </c>
      <c r="J115" s="0" t="str">
        <f aca="false">IF($A115="","",IFERROR(INDEX(Equipment!$L$5:$L$500,MATCH($A115,Equipment!$S$5:$S$500,0))&amp;"",""))</f>
        <v/>
      </c>
      <c r="K115" s="0" t="str">
        <f aca="false">IF($A115="","",IFERROR(INDEX(Equipment!$Q$5:$Q$500,MATCH($A115,Equipment!$S$5:$S$500,0))&amp;"",""))</f>
        <v/>
      </c>
    </row>
    <row r="116" customFormat="false" ht="15" hidden="false" customHeight="false" outlineLevel="0" collapsed="false">
      <c r="A116" s="0" t="str">
        <f aca="false">IF(108&gt;$C$6,"",108)</f>
        <v/>
      </c>
      <c r="B116" s="0" t="str">
        <f aca="false">IF($A116="","",IFERROR(INDEX(Equipment!$A$5:$A$500,MATCH($A116,Equipment!$S$5:$S$500,0))&amp;"",""))</f>
        <v/>
      </c>
      <c r="C116" s="0" t="str">
        <f aca="false">IF($A116="","",IFERROR(INDEX(Equipment!$B$5:$B$500,MATCH($A116,Equipment!$S$5:$S$500,0))&amp;"",""))</f>
        <v/>
      </c>
      <c r="D116" s="0" t="str">
        <f aca="false">IF($A116="","",IFERROR(INDEX(Equipment!$E$5:$E$500,MATCH($A116,Equipment!$S$5:$S$500,0))&amp;"",""))</f>
        <v/>
      </c>
      <c r="E116" s="0" t="str">
        <f aca="false">IF($A116="","",IFERROR(INDEX(Equipment!$F$5:$F$500,MATCH($A116,Equipment!$S$5:$S$500,0))&amp;"",""))</f>
        <v/>
      </c>
      <c r="F116" s="0" t="str">
        <f aca="false">IF($A116="","",IFERROR(INDEX(Equipment!$G$5:$G$500,MATCH($A116,Equipment!$S$5:$S$500,0))&amp;"",""))</f>
        <v/>
      </c>
      <c r="G116" s="0" t="str">
        <f aca="false">IF($A116="","",IFERROR(INDEX(Equipment!$H$5:$H$500,MATCH($A116,Equipment!$S$5:$S$500,0))&amp;"",""))</f>
        <v/>
      </c>
      <c r="H116" s="0" t="str">
        <f aca="false">IF($A116="","",IFERROR(INDEX(Equipment!$J$5:$J$500,MATCH($A116,Equipment!$S$5:$S$500,0))&amp;"",""))</f>
        <v/>
      </c>
      <c r="I116" s="0" t="str">
        <f aca="false">IF($A116="","",IFERROR(INDEX(Equipment!$K$5:$K$500,MATCH($A116,Equipment!$S$5:$S$500,0))&amp;"",""))</f>
        <v/>
      </c>
      <c r="J116" s="0" t="str">
        <f aca="false">IF($A116="","",IFERROR(INDEX(Equipment!$L$5:$L$500,MATCH($A116,Equipment!$S$5:$S$500,0))&amp;"",""))</f>
        <v/>
      </c>
      <c r="K116" s="0" t="str">
        <f aca="false">IF($A116="","",IFERROR(INDEX(Equipment!$Q$5:$Q$500,MATCH($A116,Equipment!$S$5:$S$500,0))&amp;"",""))</f>
        <v/>
      </c>
    </row>
    <row r="117" customFormat="false" ht="15" hidden="false" customHeight="false" outlineLevel="0" collapsed="false">
      <c r="A117" s="0" t="str">
        <f aca="false">IF(109&gt;$C$6,"",109)</f>
        <v/>
      </c>
      <c r="B117" s="0" t="str">
        <f aca="false">IF($A117="","",IFERROR(INDEX(Equipment!$A$5:$A$500,MATCH($A117,Equipment!$S$5:$S$500,0))&amp;"",""))</f>
        <v/>
      </c>
      <c r="C117" s="0" t="str">
        <f aca="false">IF($A117="","",IFERROR(INDEX(Equipment!$B$5:$B$500,MATCH($A117,Equipment!$S$5:$S$500,0))&amp;"",""))</f>
        <v/>
      </c>
      <c r="D117" s="0" t="str">
        <f aca="false">IF($A117="","",IFERROR(INDEX(Equipment!$E$5:$E$500,MATCH($A117,Equipment!$S$5:$S$500,0))&amp;"",""))</f>
        <v/>
      </c>
      <c r="E117" s="0" t="str">
        <f aca="false">IF($A117="","",IFERROR(INDEX(Equipment!$F$5:$F$500,MATCH($A117,Equipment!$S$5:$S$500,0))&amp;"",""))</f>
        <v/>
      </c>
      <c r="F117" s="0" t="str">
        <f aca="false">IF($A117="","",IFERROR(INDEX(Equipment!$G$5:$G$500,MATCH($A117,Equipment!$S$5:$S$500,0))&amp;"",""))</f>
        <v/>
      </c>
      <c r="G117" s="0" t="str">
        <f aca="false">IF($A117="","",IFERROR(INDEX(Equipment!$H$5:$H$500,MATCH($A117,Equipment!$S$5:$S$500,0))&amp;"",""))</f>
        <v/>
      </c>
      <c r="H117" s="0" t="str">
        <f aca="false">IF($A117="","",IFERROR(INDEX(Equipment!$J$5:$J$500,MATCH($A117,Equipment!$S$5:$S$500,0))&amp;"",""))</f>
        <v/>
      </c>
      <c r="I117" s="0" t="str">
        <f aca="false">IF($A117="","",IFERROR(INDEX(Equipment!$K$5:$K$500,MATCH($A117,Equipment!$S$5:$S$500,0))&amp;"",""))</f>
        <v/>
      </c>
      <c r="J117" s="0" t="str">
        <f aca="false">IF($A117="","",IFERROR(INDEX(Equipment!$L$5:$L$500,MATCH($A117,Equipment!$S$5:$S$500,0))&amp;"",""))</f>
        <v/>
      </c>
      <c r="K117" s="0" t="str">
        <f aca="false">IF($A117="","",IFERROR(INDEX(Equipment!$Q$5:$Q$500,MATCH($A117,Equipment!$S$5:$S$500,0))&amp;"",""))</f>
        <v/>
      </c>
    </row>
    <row r="118" customFormat="false" ht="15" hidden="false" customHeight="false" outlineLevel="0" collapsed="false">
      <c r="A118" s="0" t="str">
        <f aca="false">IF(110&gt;$C$6,"",110)</f>
        <v/>
      </c>
      <c r="B118" s="0" t="str">
        <f aca="false">IF($A118="","",IFERROR(INDEX(Equipment!$A$5:$A$500,MATCH($A118,Equipment!$S$5:$S$500,0))&amp;"",""))</f>
        <v/>
      </c>
      <c r="C118" s="0" t="str">
        <f aca="false">IF($A118="","",IFERROR(INDEX(Equipment!$B$5:$B$500,MATCH($A118,Equipment!$S$5:$S$500,0))&amp;"",""))</f>
        <v/>
      </c>
      <c r="D118" s="0" t="str">
        <f aca="false">IF($A118="","",IFERROR(INDEX(Equipment!$E$5:$E$500,MATCH($A118,Equipment!$S$5:$S$500,0))&amp;"",""))</f>
        <v/>
      </c>
      <c r="E118" s="0" t="str">
        <f aca="false">IF($A118="","",IFERROR(INDEX(Equipment!$F$5:$F$500,MATCH($A118,Equipment!$S$5:$S$500,0))&amp;"",""))</f>
        <v/>
      </c>
      <c r="F118" s="0" t="str">
        <f aca="false">IF($A118="","",IFERROR(INDEX(Equipment!$G$5:$G$500,MATCH($A118,Equipment!$S$5:$S$500,0))&amp;"",""))</f>
        <v/>
      </c>
      <c r="G118" s="0" t="str">
        <f aca="false">IF($A118="","",IFERROR(INDEX(Equipment!$H$5:$H$500,MATCH($A118,Equipment!$S$5:$S$500,0))&amp;"",""))</f>
        <v/>
      </c>
      <c r="H118" s="0" t="str">
        <f aca="false">IF($A118="","",IFERROR(INDEX(Equipment!$J$5:$J$500,MATCH($A118,Equipment!$S$5:$S$500,0))&amp;"",""))</f>
        <v/>
      </c>
      <c r="I118" s="0" t="str">
        <f aca="false">IF($A118="","",IFERROR(INDEX(Equipment!$K$5:$K$500,MATCH($A118,Equipment!$S$5:$S$500,0))&amp;"",""))</f>
        <v/>
      </c>
      <c r="J118" s="0" t="str">
        <f aca="false">IF($A118="","",IFERROR(INDEX(Equipment!$L$5:$L$500,MATCH($A118,Equipment!$S$5:$S$500,0))&amp;"",""))</f>
        <v/>
      </c>
      <c r="K118" s="0" t="str">
        <f aca="false">IF($A118="","",IFERROR(INDEX(Equipment!$Q$5:$Q$500,MATCH($A118,Equipment!$S$5:$S$500,0))&amp;"",""))</f>
        <v/>
      </c>
    </row>
    <row r="119" customFormat="false" ht="15" hidden="false" customHeight="false" outlineLevel="0" collapsed="false">
      <c r="A119" s="0" t="str">
        <f aca="false">IF(111&gt;$C$6,"",111)</f>
        <v/>
      </c>
      <c r="B119" s="0" t="str">
        <f aca="false">IF($A119="","",IFERROR(INDEX(Equipment!$A$5:$A$500,MATCH($A119,Equipment!$S$5:$S$500,0))&amp;"",""))</f>
        <v/>
      </c>
      <c r="C119" s="0" t="str">
        <f aca="false">IF($A119="","",IFERROR(INDEX(Equipment!$B$5:$B$500,MATCH($A119,Equipment!$S$5:$S$500,0))&amp;"",""))</f>
        <v/>
      </c>
      <c r="D119" s="0" t="str">
        <f aca="false">IF($A119="","",IFERROR(INDEX(Equipment!$E$5:$E$500,MATCH($A119,Equipment!$S$5:$S$500,0))&amp;"",""))</f>
        <v/>
      </c>
      <c r="E119" s="0" t="str">
        <f aca="false">IF($A119="","",IFERROR(INDEX(Equipment!$F$5:$F$500,MATCH($A119,Equipment!$S$5:$S$500,0))&amp;"",""))</f>
        <v/>
      </c>
      <c r="F119" s="0" t="str">
        <f aca="false">IF($A119="","",IFERROR(INDEX(Equipment!$G$5:$G$500,MATCH($A119,Equipment!$S$5:$S$500,0))&amp;"",""))</f>
        <v/>
      </c>
      <c r="G119" s="0" t="str">
        <f aca="false">IF($A119="","",IFERROR(INDEX(Equipment!$H$5:$H$500,MATCH($A119,Equipment!$S$5:$S$500,0))&amp;"",""))</f>
        <v/>
      </c>
      <c r="H119" s="0" t="str">
        <f aca="false">IF($A119="","",IFERROR(INDEX(Equipment!$J$5:$J$500,MATCH($A119,Equipment!$S$5:$S$500,0))&amp;"",""))</f>
        <v/>
      </c>
      <c r="I119" s="0" t="str">
        <f aca="false">IF($A119="","",IFERROR(INDEX(Equipment!$K$5:$K$500,MATCH($A119,Equipment!$S$5:$S$500,0))&amp;"",""))</f>
        <v/>
      </c>
      <c r="J119" s="0" t="str">
        <f aca="false">IF($A119="","",IFERROR(INDEX(Equipment!$L$5:$L$500,MATCH($A119,Equipment!$S$5:$S$500,0))&amp;"",""))</f>
        <v/>
      </c>
      <c r="K119" s="0" t="str">
        <f aca="false">IF($A119="","",IFERROR(INDEX(Equipment!$Q$5:$Q$500,MATCH($A119,Equipment!$S$5:$S$500,0))&amp;"",""))</f>
        <v/>
      </c>
    </row>
    <row r="120" customFormat="false" ht="15" hidden="false" customHeight="false" outlineLevel="0" collapsed="false">
      <c r="A120" s="0" t="str">
        <f aca="false">IF(112&gt;$C$6,"",112)</f>
        <v/>
      </c>
      <c r="B120" s="0" t="str">
        <f aca="false">IF($A120="","",IFERROR(INDEX(Equipment!$A$5:$A$500,MATCH($A120,Equipment!$S$5:$S$500,0))&amp;"",""))</f>
        <v/>
      </c>
      <c r="C120" s="0" t="str">
        <f aca="false">IF($A120="","",IFERROR(INDEX(Equipment!$B$5:$B$500,MATCH($A120,Equipment!$S$5:$S$500,0))&amp;"",""))</f>
        <v/>
      </c>
      <c r="D120" s="0" t="str">
        <f aca="false">IF($A120="","",IFERROR(INDEX(Equipment!$E$5:$E$500,MATCH($A120,Equipment!$S$5:$S$500,0))&amp;"",""))</f>
        <v/>
      </c>
      <c r="E120" s="0" t="str">
        <f aca="false">IF($A120="","",IFERROR(INDEX(Equipment!$F$5:$F$500,MATCH($A120,Equipment!$S$5:$S$500,0))&amp;"",""))</f>
        <v/>
      </c>
      <c r="F120" s="0" t="str">
        <f aca="false">IF($A120="","",IFERROR(INDEX(Equipment!$G$5:$G$500,MATCH($A120,Equipment!$S$5:$S$500,0))&amp;"",""))</f>
        <v/>
      </c>
      <c r="G120" s="0" t="str">
        <f aca="false">IF($A120="","",IFERROR(INDEX(Equipment!$H$5:$H$500,MATCH($A120,Equipment!$S$5:$S$500,0))&amp;"",""))</f>
        <v/>
      </c>
      <c r="H120" s="0" t="str">
        <f aca="false">IF($A120="","",IFERROR(INDEX(Equipment!$J$5:$J$500,MATCH($A120,Equipment!$S$5:$S$500,0))&amp;"",""))</f>
        <v/>
      </c>
      <c r="I120" s="0" t="str">
        <f aca="false">IF($A120="","",IFERROR(INDEX(Equipment!$K$5:$K$500,MATCH($A120,Equipment!$S$5:$S$500,0))&amp;"",""))</f>
        <v/>
      </c>
      <c r="J120" s="0" t="str">
        <f aca="false">IF($A120="","",IFERROR(INDEX(Equipment!$L$5:$L$500,MATCH($A120,Equipment!$S$5:$S$500,0))&amp;"",""))</f>
        <v/>
      </c>
      <c r="K120" s="0" t="str">
        <f aca="false">IF($A120="","",IFERROR(INDEX(Equipment!$Q$5:$Q$500,MATCH($A120,Equipment!$S$5:$S$500,0))&amp;"",""))</f>
        <v/>
      </c>
    </row>
    <row r="121" customFormat="false" ht="15" hidden="false" customHeight="false" outlineLevel="0" collapsed="false">
      <c r="A121" s="0" t="str">
        <f aca="false">IF(113&gt;$C$6,"",113)</f>
        <v/>
      </c>
      <c r="B121" s="0" t="str">
        <f aca="false">IF($A121="","",IFERROR(INDEX(Equipment!$A$5:$A$500,MATCH($A121,Equipment!$S$5:$S$500,0))&amp;"",""))</f>
        <v/>
      </c>
      <c r="C121" s="0" t="str">
        <f aca="false">IF($A121="","",IFERROR(INDEX(Equipment!$B$5:$B$500,MATCH($A121,Equipment!$S$5:$S$500,0))&amp;"",""))</f>
        <v/>
      </c>
      <c r="D121" s="0" t="str">
        <f aca="false">IF($A121="","",IFERROR(INDEX(Equipment!$E$5:$E$500,MATCH($A121,Equipment!$S$5:$S$500,0))&amp;"",""))</f>
        <v/>
      </c>
      <c r="E121" s="0" t="str">
        <f aca="false">IF($A121="","",IFERROR(INDEX(Equipment!$F$5:$F$500,MATCH($A121,Equipment!$S$5:$S$500,0))&amp;"",""))</f>
        <v/>
      </c>
      <c r="F121" s="0" t="str">
        <f aca="false">IF($A121="","",IFERROR(INDEX(Equipment!$G$5:$G$500,MATCH($A121,Equipment!$S$5:$S$500,0))&amp;"",""))</f>
        <v/>
      </c>
      <c r="G121" s="0" t="str">
        <f aca="false">IF($A121="","",IFERROR(INDEX(Equipment!$H$5:$H$500,MATCH($A121,Equipment!$S$5:$S$500,0))&amp;"",""))</f>
        <v/>
      </c>
      <c r="H121" s="0" t="str">
        <f aca="false">IF($A121="","",IFERROR(INDEX(Equipment!$J$5:$J$500,MATCH($A121,Equipment!$S$5:$S$500,0))&amp;"",""))</f>
        <v/>
      </c>
      <c r="I121" s="0" t="str">
        <f aca="false">IF($A121="","",IFERROR(INDEX(Equipment!$K$5:$K$500,MATCH($A121,Equipment!$S$5:$S$500,0))&amp;"",""))</f>
        <v/>
      </c>
      <c r="J121" s="0" t="str">
        <f aca="false">IF($A121="","",IFERROR(INDEX(Equipment!$L$5:$L$500,MATCH($A121,Equipment!$S$5:$S$500,0))&amp;"",""))</f>
        <v/>
      </c>
      <c r="K121" s="0" t="str">
        <f aca="false">IF($A121="","",IFERROR(INDEX(Equipment!$Q$5:$Q$500,MATCH($A121,Equipment!$S$5:$S$500,0))&amp;"",""))</f>
        <v/>
      </c>
    </row>
    <row r="122" customFormat="false" ht="15" hidden="false" customHeight="false" outlineLevel="0" collapsed="false">
      <c r="A122" s="0" t="str">
        <f aca="false">IF(114&gt;$C$6,"",114)</f>
        <v/>
      </c>
      <c r="B122" s="0" t="str">
        <f aca="false">IF($A122="","",IFERROR(INDEX(Equipment!$A$5:$A$500,MATCH($A122,Equipment!$S$5:$S$500,0))&amp;"",""))</f>
        <v/>
      </c>
      <c r="C122" s="0" t="str">
        <f aca="false">IF($A122="","",IFERROR(INDEX(Equipment!$B$5:$B$500,MATCH($A122,Equipment!$S$5:$S$500,0))&amp;"",""))</f>
        <v/>
      </c>
      <c r="D122" s="0" t="str">
        <f aca="false">IF($A122="","",IFERROR(INDEX(Equipment!$E$5:$E$500,MATCH($A122,Equipment!$S$5:$S$500,0))&amp;"",""))</f>
        <v/>
      </c>
      <c r="E122" s="0" t="str">
        <f aca="false">IF($A122="","",IFERROR(INDEX(Equipment!$F$5:$F$500,MATCH($A122,Equipment!$S$5:$S$500,0))&amp;"",""))</f>
        <v/>
      </c>
      <c r="F122" s="0" t="str">
        <f aca="false">IF($A122="","",IFERROR(INDEX(Equipment!$G$5:$G$500,MATCH($A122,Equipment!$S$5:$S$500,0))&amp;"",""))</f>
        <v/>
      </c>
      <c r="G122" s="0" t="str">
        <f aca="false">IF($A122="","",IFERROR(INDEX(Equipment!$H$5:$H$500,MATCH($A122,Equipment!$S$5:$S$500,0))&amp;"",""))</f>
        <v/>
      </c>
      <c r="H122" s="0" t="str">
        <f aca="false">IF($A122="","",IFERROR(INDEX(Equipment!$J$5:$J$500,MATCH($A122,Equipment!$S$5:$S$500,0))&amp;"",""))</f>
        <v/>
      </c>
      <c r="I122" s="0" t="str">
        <f aca="false">IF($A122="","",IFERROR(INDEX(Equipment!$K$5:$K$500,MATCH($A122,Equipment!$S$5:$S$500,0))&amp;"",""))</f>
        <v/>
      </c>
      <c r="J122" s="0" t="str">
        <f aca="false">IF($A122="","",IFERROR(INDEX(Equipment!$L$5:$L$500,MATCH($A122,Equipment!$S$5:$S$500,0))&amp;"",""))</f>
        <v/>
      </c>
      <c r="K122" s="0" t="str">
        <f aca="false">IF($A122="","",IFERROR(INDEX(Equipment!$Q$5:$Q$500,MATCH($A122,Equipment!$S$5:$S$500,0))&amp;"",""))</f>
        <v/>
      </c>
    </row>
    <row r="123" customFormat="false" ht="15" hidden="false" customHeight="false" outlineLevel="0" collapsed="false">
      <c r="A123" s="0" t="str">
        <f aca="false">IF(115&gt;$C$6,"",115)</f>
        <v/>
      </c>
      <c r="B123" s="0" t="str">
        <f aca="false">IF($A123="","",IFERROR(INDEX(Equipment!$A$5:$A$500,MATCH($A123,Equipment!$S$5:$S$500,0))&amp;"",""))</f>
        <v/>
      </c>
      <c r="C123" s="0" t="str">
        <f aca="false">IF($A123="","",IFERROR(INDEX(Equipment!$B$5:$B$500,MATCH($A123,Equipment!$S$5:$S$500,0))&amp;"",""))</f>
        <v/>
      </c>
      <c r="D123" s="0" t="str">
        <f aca="false">IF($A123="","",IFERROR(INDEX(Equipment!$E$5:$E$500,MATCH($A123,Equipment!$S$5:$S$500,0))&amp;"",""))</f>
        <v/>
      </c>
      <c r="E123" s="0" t="str">
        <f aca="false">IF($A123="","",IFERROR(INDEX(Equipment!$F$5:$F$500,MATCH($A123,Equipment!$S$5:$S$500,0))&amp;"",""))</f>
        <v/>
      </c>
      <c r="F123" s="0" t="str">
        <f aca="false">IF($A123="","",IFERROR(INDEX(Equipment!$G$5:$G$500,MATCH($A123,Equipment!$S$5:$S$500,0))&amp;"",""))</f>
        <v/>
      </c>
      <c r="G123" s="0" t="str">
        <f aca="false">IF($A123="","",IFERROR(INDEX(Equipment!$H$5:$H$500,MATCH($A123,Equipment!$S$5:$S$500,0))&amp;"",""))</f>
        <v/>
      </c>
      <c r="H123" s="0" t="str">
        <f aca="false">IF($A123="","",IFERROR(INDEX(Equipment!$J$5:$J$500,MATCH($A123,Equipment!$S$5:$S$500,0))&amp;"",""))</f>
        <v/>
      </c>
      <c r="I123" s="0" t="str">
        <f aca="false">IF($A123="","",IFERROR(INDEX(Equipment!$K$5:$K$500,MATCH($A123,Equipment!$S$5:$S$500,0))&amp;"",""))</f>
        <v/>
      </c>
      <c r="J123" s="0" t="str">
        <f aca="false">IF($A123="","",IFERROR(INDEX(Equipment!$L$5:$L$500,MATCH($A123,Equipment!$S$5:$S$500,0))&amp;"",""))</f>
        <v/>
      </c>
      <c r="K123" s="0" t="str">
        <f aca="false">IF($A123="","",IFERROR(INDEX(Equipment!$Q$5:$Q$500,MATCH($A123,Equipment!$S$5:$S$500,0))&amp;"",""))</f>
        <v/>
      </c>
    </row>
    <row r="124" customFormat="false" ht="15" hidden="false" customHeight="false" outlineLevel="0" collapsed="false">
      <c r="A124" s="0" t="str">
        <f aca="false">IF(116&gt;$C$6,"",116)</f>
        <v/>
      </c>
      <c r="B124" s="0" t="str">
        <f aca="false">IF($A124="","",IFERROR(INDEX(Equipment!$A$5:$A$500,MATCH($A124,Equipment!$S$5:$S$500,0))&amp;"",""))</f>
        <v/>
      </c>
      <c r="C124" s="0" t="str">
        <f aca="false">IF($A124="","",IFERROR(INDEX(Equipment!$B$5:$B$500,MATCH($A124,Equipment!$S$5:$S$500,0))&amp;"",""))</f>
        <v/>
      </c>
      <c r="D124" s="0" t="str">
        <f aca="false">IF($A124="","",IFERROR(INDEX(Equipment!$E$5:$E$500,MATCH($A124,Equipment!$S$5:$S$500,0))&amp;"",""))</f>
        <v/>
      </c>
      <c r="E124" s="0" t="str">
        <f aca="false">IF($A124="","",IFERROR(INDEX(Equipment!$F$5:$F$500,MATCH($A124,Equipment!$S$5:$S$500,0))&amp;"",""))</f>
        <v/>
      </c>
      <c r="F124" s="0" t="str">
        <f aca="false">IF($A124="","",IFERROR(INDEX(Equipment!$G$5:$G$500,MATCH($A124,Equipment!$S$5:$S$500,0))&amp;"",""))</f>
        <v/>
      </c>
      <c r="G124" s="0" t="str">
        <f aca="false">IF($A124="","",IFERROR(INDEX(Equipment!$H$5:$H$500,MATCH($A124,Equipment!$S$5:$S$500,0))&amp;"",""))</f>
        <v/>
      </c>
      <c r="H124" s="0" t="str">
        <f aca="false">IF($A124="","",IFERROR(INDEX(Equipment!$J$5:$J$500,MATCH($A124,Equipment!$S$5:$S$500,0))&amp;"",""))</f>
        <v/>
      </c>
      <c r="I124" s="0" t="str">
        <f aca="false">IF($A124="","",IFERROR(INDEX(Equipment!$K$5:$K$500,MATCH($A124,Equipment!$S$5:$S$500,0))&amp;"",""))</f>
        <v/>
      </c>
      <c r="J124" s="0" t="str">
        <f aca="false">IF($A124="","",IFERROR(INDEX(Equipment!$L$5:$L$500,MATCH($A124,Equipment!$S$5:$S$500,0))&amp;"",""))</f>
        <v/>
      </c>
      <c r="K124" s="0" t="str">
        <f aca="false">IF($A124="","",IFERROR(INDEX(Equipment!$Q$5:$Q$500,MATCH($A124,Equipment!$S$5:$S$500,0))&amp;"",""))</f>
        <v/>
      </c>
    </row>
    <row r="125" customFormat="false" ht="15" hidden="false" customHeight="false" outlineLevel="0" collapsed="false">
      <c r="A125" s="0" t="str">
        <f aca="false">IF(117&gt;$C$6,"",117)</f>
        <v/>
      </c>
      <c r="B125" s="0" t="str">
        <f aca="false">IF($A125="","",IFERROR(INDEX(Equipment!$A$5:$A$500,MATCH($A125,Equipment!$S$5:$S$500,0))&amp;"",""))</f>
        <v/>
      </c>
      <c r="C125" s="0" t="str">
        <f aca="false">IF($A125="","",IFERROR(INDEX(Equipment!$B$5:$B$500,MATCH($A125,Equipment!$S$5:$S$500,0))&amp;"",""))</f>
        <v/>
      </c>
      <c r="D125" s="0" t="str">
        <f aca="false">IF($A125="","",IFERROR(INDEX(Equipment!$E$5:$E$500,MATCH($A125,Equipment!$S$5:$S$500,0))&amp;"",""))</f>
        <v/>
      </c>
      <c r="E125" s="0" t="str">
        <f aca="false">IF($A125="","",IFERROR(INDEX(Equipment!$F$5:$F$500,MATCH($A125,Equipment!$S$5:$S$500,0))&amp;"",""))</f>
        <v/>
      </c>
      <c r="F125" s="0" t="str">
        <f aca="false">IF($A125="","",IFERROR(INDEX(Equipment!$G$5:$G$500,MATCH($A125,Equipment!$S$5:$S$500,0))&amp;"",""))</f>
        <v/>
      </c>
      <c r="G125" s="0" t="str">
        <f aca="false">IF($A125="","",IFERROR(INDEX(Equipment!$H$5:$H$500,MATCH($A125,Equipment!$S$5:$S$500,0))&amp;"",""))</f>
        <v/>
      </c>
      <c r="H125" s="0" t="str">
        <f aca="false">IF($A125="","",IFERROR(INDEX(Equipment!$J$5:$J$500,MATCH($A125,Equipment!$S$5:$S$500,0))&amp;"",""))</f>
        <v/>
      </c>
      <c r="I125" s="0" t="str">
        <f aca="false">IF($A125="","",IFERROR(INDEX(Equipment!$K$5:$K$500,MATCH($A125,Equipment!$S$5:$S$500,0))&amp;"",""))</f>
        <v/>
      </c>
      <c r="J125" s="0" t="str">
        <f aca="false">IF($A125="","",IFERROR(INDEX(Equipment!$L$5:$L$500,MATCH($A125,Equipment!$S$5:$S$500,0))&amp;"",""))</f>
        <v/>
      </c>
      <c r="K125" s="0" t="str">
        <f aca="false">IF($A125="","",IFERROR(INDEX(Equipment!$Q$5:$Q$500,MATCH($A125,Equipment!$S$5:$S$500,0))&amp;"",""))</f>
        <v/>
      </c>
    </row>
    <row r="126" customFormat="false" ht="15" hidden="false" customHeight="false" outlineLevel="0" collapsed="false">
      <c r="A126" s="0" t="str">
        <f aca="false">IF(118&gt;$C$6,"",118)</f>
        <v/>
      </c>
      <c r="B126" s="0" t="str">
        <f aca="false">IF($A126="","",IFERROR(INDEX(Equipment!$A$5:$A$500,MATCH($A126,Equipment!$S$5:$S$500,0))&amp;"",""))</f>
        <v/>
      </c>
      <c r="C126" s="0" t="str">
        <f aca="false">IF($A126="","",IFERROR(INDEX(Equipment!$B$5:$B$500,MATCH($A126,Equipment!$S$5:$S$500,0))&amp;"",""))</f>
        <v/>
      </c>
      <c r="D126" s="0" t="str">
        <f aca="false">IF($A126="","",IFERROR(INDEX(Equipment!$E$5:$E$500,MATCH($A126,Equipment!$S$5:$S$500,0))&amp;"",""))</f>
        <v/>
      </c>
      <c r="E126" s="0" t="str">
        <f aca="false">IF($A126="","",IFERROR(INDEX(Equipment!$F$5:$F$500,MATCH($A126,Equipment!$S$5:$S$500,0))&amp;"",""))</f>
        <v/>
      </c>
      <c r="F126" s="0" t="str">
        <f aca="false">IF($A126="","",IFERROR(INDEX(Equipment!$G$5:$G$500,MATCH($A126,Equipment!$S$5:$S$500,0))&amp;"",""))</f>
        <v/>
      </c>
      <c r="G126" s="0" t="str">
        <f aca="false">IF($A126="","",IFERROR(INDEX(Equipment!$H$5:$H$500,MATCH($A126,Equipment!$S$5:$S$500,0))&amp;"",""))</f>
        <v/>
      </c>
      <c r="H126" s="0" t="str">
        <f aca="false">IF($A126="","",IFERROR(INDEX(Equipment!$J$5:$J$500,MATCH($A126,Equipment!$S$5:$S$500,0))&amp;"",""))</f>
        <v/>
      </c>
      <c r="I126" s="0" t="str">
        <f aca="false">IF($A126="","",IFERROR(INDEX(Equipment!$K$5:$K$500,MATCH($A126,Equipment!$S$5:$S$500,0))&amp;"",""))</f>
        <v/>
      </c>
      <c r="J126" s="0" t="str">
        <f aca="false">IF($A126="","",IFERROR(INDEX(Equipment!$L$5:$L$500,MATCH($A126,Equipment!$S$5:$S$500,0))&amp;"",""))</f>
        <v/>
      </c>
      <c r="K126" s="0" t="str">
        <f aca="false">IF($A126="","",IFERROR(INDEX(Equipment!$Q$5:$Q$500,MATCH($A126,Equipment!$S$5:$S$500,0))&amp;"",""))</f>
        <v/>
      </c>
    </row>
    <row r="127" customFormat="false" ht="15" hidden="false" customHeight="false" outlineLevel="0" collapsed="false">
      <c r="A127" s="0" t="str">
        <f aca="false">IF(119&gt;$C$6,"",119)</f>
        <v/>
      </c>
      <c r="B127" s="0" t="str">
        <f aca="false">IF($A127="","",IFERROR(INDEX(Equipment!$A$5:$A$500,MATCH($A127,Equipment!$S$5:$S$500,0))&amp;"",""))</f>
        <v/>
      </c>
      <c r="C127" s="0" t="str">
        <f aca="false">IF($A127="","",IFERROR(INDEX(Equipment!$B$5:$B$500,MATCH($A127,Equipment!$S$5:$S$500,0))&amp;"",""))</f>
        <v/>
      </c>
      <c r="D127" s="0" t="str">
        <f aca="false">IF($A127="","",IFERROR(INDEX(Equipment!$E$5:$E$500,MATCH($A127,Equipment!$S$5:$S$500,0))&amp;"",""))</f>
        <v/>
      </c>
      <c r="E127" s="0" t="str">
        <f aca="false">IF($A127="","",IFERROR(INDEX(Equipment!$F$5:$F$500,MATCH($A127,Equipment!$S$5:$S$500,0))&amp;"",""))</f>
        <v/>
      </c>
      <c r="F127" s="0" t="str">
        <f aca="false">IF($A127="","",IFERROR(INDEX(Equipment!$G$5:$G$500,MATCH($A127,Equipment!$S$5:$S$500,0))&amp;"",""))</f>
        <v/>
      </c>
      <c r="G127" s="0" t="str">
        <f aca="false">IF($A127="","",IFERROR(INDEX(Equipment!$H$5:$H$500,MATCH($A127,Equipment!$S$5:$S$500,0))&amp;"",""))</f>
        <v/>
      </c>
      <c r="H127" s="0" t="str">
        <f aca="false">IF($A127="","",IFERROR(INDEX(Equipment!$J$5:$J$500,MATCH($A127,Equipment!$S$5:$S$500,0))&amp;"",""))</f>
        <v/>
      </c>
      <c r="I127" s="0" t="str">
        <f aca="false">IF($A127="","",IFERROR(INDEX(Equipment!$K$5:$K$500,MATCH($A127,Equipment!$S$5:$S$500,0))&amp;"",""))</f>
        <v/>
      </c>
      <c r="J127" s="0" t="str">
        <f aca="false">IF($A127="","",IFERROR(INDEX(Equipment!$L$5:$L$500,MATCH($A127,Equipment!$S$5:$S$500,0))&amp;"",""))</f>
        <v/>
      </c>
      <c r="K127" s="0" t="str">
        <f aca="false">IF($A127="","",IFERROR(INDEX(Equipment!$Q$5:$Q$500,MATCH($A127,Equipment!$S$5:$S$500,0))&amp;"",""))</f>
        <v/>
      </c>
    </row>
    <row r="128" customFormat="false" ht="15" hidden="false" customHeight="false" outlineLevel="0" collapsed="false">
      <c r="A128" s="0" t="str">
        <f aca="false">IF(120&gt;$C$6,"",120)</f>
        <v/>
      </c>
      <c r="B128" s="0" t="str">
        <f aca="false">IF($A128="","",IFERROR(INDEX(Equipment!$A$5:$A$500,MATCH($A128,Equipment!$S$5:$S$500,0))&amp;"",""))</f>
        <v/>
      </c>
      <c r="C128" s="0" t="str">
        <f aca="false">IF($A128="","",IFERROR(INDEX(Equipment!$B$5:$B$500,MATCH($A128,Equipment!$S$5:$S$500,0))&amp;"",""))</f>
        <v/>
      </c>
      <c r="D128" s="0" t="str">
        <f aca="false">IF($A128="","",IFERROR(INDEX(Equipment!$E$5:$E$500,MATCH($A128,Equipment!$S$5:$S$500,0))&amp;"",""))</f>
        <v/>
      </c>
      <c r="E128" s="0" t="str">
        <f aca="false">IF($A128="","",IFERROR(INDEX(Equipment!$F$5:$F$500,MATCH($A128,Equipment!$S$5:$S$500,0))&amp;"",""))</f>
        <v/>
      </c>
      <c r="F128" s="0" t="str">
        <f aca="false">IF($A128="","",IFERROR(INDEX(Equipment!$G$5:$G$500,MATCH($A128,Equipment!$S$5:$S$500,0))&amp;"",""))</f>
        <v/>
      </c>
      <c r="G128" s="0" t="str">
        <f aca="false">IF($A128="","",IFERROR(INDEX(Equipment!$H$5:$H$500,MATCH($A128,Equipment!$S$5:$S$500,0))&amp;"",""))</f>
        <v/>
      </c>
      <c r="H128" s="0" t="str">
        <f aca="false">IF($A128="","",IFERROR(INDEX(Equipment!$J$5:$J$500,MATCH($A128,Equipment!$S$5:$S$500,0))&amp;"",""))</f>
        <v/>
      </c>
      <c r="I128" s="0" t="str">
        <f aca="false">IF($A128="","",IFERROR(INDEX(Equipment!$K$5:$K$500,MATCH($A128,Equipment!$S$5:$S$500,0))&amp;"",""))</f>
        <v/>
      </c>
      <c r="J128" s="0" t="str">
        <f aca="false">IF($A128="","",IFERROR(INDEX(Equipment!$L$5:$L$500,MATCH($A128,Equipment!$S$5:$S$500,0))&amp;"",""))</f>
        <v/>
      </c>
      <c r="K128" s="0" t="str">
        <f aca="false">IF($A128="","",IFERROR(INDEX(Equipment!$Q$5:$Q$500,MATCH($A128,Equipment!$S$5:$S$500,0))&amp;"",""))</f>
        <v/>
      </c>
    </row>
    <row r="129" customFormat="false" ht="15" hidden="false" customHeight="false" outlineLevel="0" collapsed="false">
      <c r="A129" s="0" t="str">
        <f aca="false">IF(121&gt;$C$6,"",121)</f>
        <v/>
      </c>
      <c r="B129" s="0" t="str">
        <f aca="false">IF($A129="","",IFERROR(INDEX(Equipment!$A$5:$A$500,MATCH($A129,Equipment!$S$5:$S$500,0))&amp;"",""))</f>
        <v/>
      </c>
      <c r="C129" s="0" t="str">
        <f aca="false">IF($A129="","",IFERROR(INDEX(Equipment!$B$5:$B$500,MATCH($A129,Equipment!$S$5:$S$500,0))&amp;"",""))</f>
        <v/>
      </c>
      <c r="D129" s="0" t="str">
        <f aca="false">IF($A129="","",IFERROR(INDEX(Equipment!$E$5:$E$500,MATCH($A129,Equipment!$S$5:$S$500,0))&amp;"",""))</f>
        <v/>
      </c>
      <c r="E129" s="0" t="str">
        <f aca="false">IF($A129="","",IFERROR(INDEX(Equipment!$F$5:$F$500,MATCH($A129,Equipment!$S$5:$S$500,0))&amp;"",""))</f>
        <v/>
      </c>
      <c r="F129" s="0" t="str">
        <f aca="false">IF($A129="","",IFERROR(INDEX(Equipment!$G$5:$G$500,MATCH($A129,Equipment!$S$5:$S$500,0))&amp;"",""))</f>
        <v/>
      </c>
      <c r="G129" s="0" t="str">
        <f aca="false">IF($A129="","",IFERROR(INDEX(Equipment!$H$5:$H$500,MATCH($A129,Equipment!$S$5:$S$500,0))&amp;"",""))</f>
        <v/>
      </c>
      <c r="H129" s="0" t="str">
        <f aca="false">IF($A129="","",IFERROR(INDEX(Equipment!$J$5:$J$500,MATCH($A129,Equipment!$S$5:$S$500,0))&amp;"",""))</f>
        <v/>
      </c>
      <c r="I129" s="0" t="str">
        <f aca="false">IF($A129="","",IFERROR(INDEX(Equipment!$K$5:$K$500,MATCH($A129,Equipment!$S$5:$S$500,0))&amp;"",""))</f>
        <v/>
      </c>
      <c r="J129" s="0" t="str">
        <f aca="false">IF($A129="","",IFERROR(INDEX(Equipment!$L$5:$L$500,MATCH($A129,Equipment!$S$5:$S$500,0))&amp;"",""))</f>
        <v/>
      </c>
      <c r="K129" s="0" t="str">
        <f aca="false">IF($A129="","",IFERROR(INDEX(Equipment!$Q$5:$Q$500,MATCH($A129,Equipment!$S$5:$S$500,0))&amp;"",""))</f>
        <v/>
      </c>
    </row>
    <row r="130" customFormat="false" ht="15" hidden="false" customHeight="false" outlineLevel="0" collapsed="false">
      <c r="A130" s="0" t="str">
        <f aca="false">IF(122&gt;$C$6,"",122)</f>
        <v/>
      </c>
      <c r="B130" s="0" t="str">
        <f aca="false">IF($A130="","",IFERROR(INDEX(Equipment!$A$5:$A$500,MATCH($A130,Equipment!$S$5:$S$500,0))&amp;"",""))</f>
        <v/>
      </c>
      <c r="C130" s="0" t="str">
        <f aca="false">IF($A130="","",IFERROR(INDEX(Equipment!$B$5:$B$500,MATCH($A130,Equipment!$S$5:$S$500,0))&amp;"",""))</f>
        <v/>
      </c>
      <c r="D130" s="0" t="str">
        <f aca="false">IF($A130="","",IFERROR(INDEX(Equipment!$E$5:$E$500,MATCH($A130,Equipment!$S$5:$S$500,0))&amp;"",""))</f>
        <v/>
      </c>
      <c r="E130" s="0" t="str">
        <f aca="false">IF($A130="","",IFERROR(INDEX(Equipment!$F$5:$F$500,MATCH($A130,Equipment!$S$5:$S$500,0))&amp;"",""))</f>
        <v/>
      </c>
      <c r="F130" s="0" t="str">
        <f aca="false">IF($A130="","",IFERROR(INDEX(Equipment!$G$5:$G$500,MATCH($A130,Equipment!$S$5:$S$500,0))&amp;"",""))</f>
        <v/>
      </c>
      <c r="G130" s="0" t="str">
        <f aca="false">IF($A130="","",IFERROR(INDEX(Equipment!$H$5:$H$500,MATCH($A130,Equipment!$S$5:$S$500,0))&amp;"",""))</f>
        <v/>
      </c>
      <c r="H130" s="0" t="str">
        <f aca="false">IF($A130="","",IFERROR(INDEX(Equipment!$J$5:$J$500,MATCH($A130,Equipment!$S$5:$S$500,0))&amp;"",""))</f>
        <v/>
      </c>
      <c r="I130" s="0" t="str">
        <f aca="false">IF($A130="","",IFERROR(INDEX(Equipment!$K$5:$K$500,MATCH($A130,Equipment!$S$5:$S$500,0))&amp;"",""))</f>
        <v/>
      </c>
      <c r="J130" s="0" t="str">
        <f aca="false">IF($A130="","",IFERROR(INDEX(Equipment!$L$5:$L$500,MATCH($A130,Equipment!$S$5:$S$500,0))&amp;"",""))</f>
        <v/>
      </c>
      <c r="K130" s="0" t="str">
        <f aca="false">IF($A130="","",IFERROR(INDEX(Equipment!$Q$5:$Q$500,MATCH($A130,Equipment!$S$5:$S$500,0))&amp;"",""))</f>
        <v/>
      </c>
    </row>
    <row r="131" customFormat="false" ht="15" hidden="false" customHeight="false" outlineLevel="0" collapsed="false">
      <c r="A131" s="0" t="str">
        <f aca="false">IF(123&gt;$C$6,"",123)</f>
        <v/>
      </c>
      <c r="B131" s="0" t="str">
        <f aca="false">IF($A131="","",IFERROR(INDEX(Equipment!$A$5:$A$500,MATCH($A131,Equipment!$S$5:$S$500,0))&amp;"",""))</f>
        <v/>
      </c>
      <c r="C131" s="0" t="str">
        <f aca="false">IF($A131="","",IFERROR(INDEX(Equipment!$B$5:$B$500,MATCH($A131,Equipment!$S$5:$S$500,0))&amp;"",""))</f>
        <v/>
      </c>
      <c r="D131" s="0" t="str">
        <f aca="false">IF($A131="","",IFERROR(INDEX(Equipment!$E$5:$E$500,MATCH($A131,Equipment!$S$5:$S$500,0))&amp;"",""))</f>
        <v/>
      </c>
      <c r="E131" s="0" t="str">
        <f aca="false">IF($A131="","",IFERROR(INDEX(Equipment!$F$5:$F$500,MATCH($A131,Equipment!$S$5:$S$500,0))&amp;"",""))</f>
        <v/>
      </c>
      <c r="F131" s="0" t="str">
        <f aca="false">IF($A131="","",IFERROR(INDEX(Equipment!$G$5:$G$500,MATCH($A131,Equipment!$S$5:$S$500,0))&amp;"",""))</f>
        <v/>
      </c>
      <c r="G131" s="0" t="str">
        <f aca="false">IF($A131="","",IFERROR(INDEX(Equipment!$H$5:$H$500,MATCH($A131,Equipment!$S$5:$S$500,0))&amp;"",""))</f>
        <v/>
      </c>
      <c r="H131" s="0" t="str">
        <f aca="false">IF($A131="","",IFERROR(INDEX(Equipment!$J$5:$J$500,MATCH($A131,Equipment!$S$5:$S$500,0))&amp;"",""))</f>
        <v/>
      </c>
      <c r="I131" s="0" t="str">
        <f aca="false">IF($A131="","",IFERROR(INDEX(Equipment!$K$5:$K$500,MATCH($A131,Equipment!$S$5:$S$500,0))&amp;"",""))</f>
        <v/>
      </c>
      <c r="J131" s="0" t="str">
        <f aca="false">IF($A131="","",IFERROR(INDEX(Equipment!$L$5:$L$500,MATCH($A131,Equipment!$S$5:$S$500,0))&amp;"",""))</f>
        <v/>
      </c>
      <c r="K131" s="0" t="str">
        <f aca="false">IF($A131="","",IFERROR(INDEX(Equipment!$Q$5:$Q$500,MATCH($A131,Equipment!$S$5:$S$500,0))&amp;"",""))</f>
        <v/>
      </c>
    </row>
    <row r="132" customFormat="false" ht="15" hidden="false" customHeight="false" outlineLevel="0" collapsed="false">
      <c r="A132" s="0" t="str">
        <f aca="false">IF(124&gt;$C$6,"",124)</f>
        <v/>
      </c>
      <c r="B132" s="0" t="str">
        <f aca="false">IF($A132="","",IFERROR(INDEX(Equipment!$A$5:$A$500,MATCH($A132,Equipment!$S$5:$S$500,0))&amp;"",""))</f>
        <v/>
      </c>
      <c r="C132" s="0" t="str">
        <f aca="false">IF($A132="","",IFERROR(INDEX(Equipment!$B$5:$B$500,MATCH($A132,Equipment!$S$5:$S$500,0))&amp;"",""))</f>
        <v/>
      </c>
      <c r="D132" s="0" t="str">
        <f aca="false">IF($A132="","",IFERROR(INDEX(Equipment!$E$5:$E$500,MATCH($A132,Equipment!$S$5:$S$500,0))&amp;"",""))</f>
        <v/>
      </c>
      <c r="E132" s="0" t="str">
        <f aca="false">IF($A132="","",IFERROR(INDEX(Equipment!$F$5:$F$500,MATCH($A132,Equipment!$S$5:$S$500,0))&amp;"",""))</f>
        <v/>
      </c>
      <c r="F132" s="0" t="str">
        <f aca="false">IF($A132="","",IFERROR(INDEX(Equipment!$G$5:$G$500,MATCH($A132,Equipment!$S$5:$S$500,0))&amp;"",""))</f>
        <v/>
      </c>
      <c r="G132" s="0" t="str">
        <f aca="false">IF($A132="","",IFERROR(INDEX(Equipment!$H$5:$H$500,MATCH($A132,Equipment!$S$5:$S$500,0))&amp;"",""))</f>
        <v/>
      </c>
      <c r="H132" s="0" t="str">
        <f aca="false">IF($A132="","",IFERROR(INDEX(Equipment!$J$5:$J$500,MATCH($A132,Equipment!$S$5:$S$500,0))&amp;"",""))</f>
        <v/>
      </c>
      <c r="I132" s="0" t="str">
        <f aca="false">IF($A132="","",IFERROR(INDEX(Equipment!$K$5:$K$500,MATCH($A132,Equipment!$S$5:$S$500,0))&amp;"",""))</f>
        <v/>
      </c>
      <c r="J132" s="0" t="str">
        <f aca="false">IF($A132="","",IFERROR(INDEX(Equipment!$L$5:$L$500,MATCH($A132,Equipment!$S$5:$S$500,0))&amp;"",""))</f>
        <v/>
      </c>
      <c r="K132" s="0" t="str">
        <f aca="false">IF($A132="","",IFERROR(INDEX(Equipment!$Q$5:$Q$500,MATCH($A132,Equipment!$S$5:$S$500,0))&amp;"",""))</f>
        <v/>
      </c>
    </row>
    <row r="133" customFormat="false" ht="15" hidden="false" customHeight="false" outlineLevel="0" collapsed="false">
      <c r="A133" s="0" t="str">
        <f aca="false">IF(125&gt;$C$6,"",125)</f>
        <v/>
      </c>
      <c r="B133" s="0" t="str">
        <f aca="false">IF($A133="","",IFERROR(INDEX(Equipment!$A$5:$A$500,MATCH($A133,Equipment!$S$5:$S$500,0))&amp;"",""))</f>
        <v/>
      </c>
      <c r="C133" s="0" t="str">
        <f aca="false">IF($A133="","",IFERROR(INDEX(Equipment!$B$5:$B$500,MATCH($A133,Equipment!$S$5:$S$500,0))&amp;"",""))</f>
        <v/>
      </c>
      <c r="D133" s="0" t="str">
        <f aca="false">IF($A133="","",IFERROR(INDEX(Equipment!$E$5:$E$500,MATCH($A133,Equipment!$S$5:$S$500,0))&amp;"",""))</f>
        <v/>
      </c>
      <c r="E133" s="0" t="str">
        <f aca="false">IF($A133="","",IFERROR(INDEX(Equipment!$F$5:$F$500,MATCH($A133,Equipment!$S$5:$S$500,0))&amp;"",""))</f>
        <v/>
      </c>
      <c r="F133" s="0" t="str">
        <f aca="false">IF($A133="","",IFERROR(INDEX(Equipment!$G$5:$G$500,MATCH($A133,Equipment!$S$5:$S$500,0))&amp;"",""))</f>
        <v/>
      </c>
      <c r="G133" s="0" t="str">
        <f aca="false">IF($A133="","",IFERROR(INDEX(Equipment!$H$5:$H$500,MATCH($A133,Equipment!$S$5:$S$500,0))&amp;"",""))</f>
        <v/>
      </c>
      <c r="H133" s="0" t="str">
        <f aca="false">IF($A133="","",IFERROR(INDEX(Equipment!$J$5:$J$500,MATCH($A133,Equipment!$S$5:$S$500,0))&amp;"",""))</f>
        <v/>
      </c>
      <c r="I133" s="0" t="str">
        <f aca="false">IF($A133="","",IFERROR(INDEX(Equipment!$K$5:$K$500,MATCH($A133,Equipment!$S$5:$S$500,0))&amp;"",""))</f>
        <v/>
      </c>
      <c r="J133" s="0" t="str">
        <f aca="false">IF($A133="","",IFERROR(INDEX(Equipment!$L$5:$L$500,MATCH($A133,Equipment!$S$5:$S$500,0))&amp;"",""))</f>
        <v/>
      </c>
      <c r="K133" s="0" t="str">
        <f aca="false">IF($A133="","",IFERROR(INDEX(Equipment!$Q$5:$Q$500,MATCH($A133,Equipment!$S$5:$S$500,0))&amp;"",""))</f>
        <v/>
      </c>
    </row>
    <row r="134" customFormat="false" ht="15" hidden="false" customHeight="false" outlineLevel="0" collapsed="false">
      <c r="A134" s="0" t="str">
        <f aca="false">IF(126&gt;$C$6,"",126)</f>
        <v/>
      </c>
      <c r="B134" s="0" t="str">
        <f aca="false">IF($A134="","",IFERROR(INDEX(Equipment!$A$5:$A$500,MATCH($A134,Equipment!$S$5:$S$500,0))&amp;"",""))</f>
        <v/>
      </c>
      <c r="C134" s="0" t="str">
        <f aca="false">IF($A134="","",IFERROR(INDEX(Equipment!$B$5:$B$500,MATCH($A134,Equipment!$S$5:$S$500,0))&amp;"",""))</f>
        <v/>
      </c>
      <c r="D134" s="0" t="str">
        <f aca="false">IF($A134="","",IFERROR(INDEX(Equipment!$E$5:$E$500,MATCH($A134,Equipment!$S$5:$S$500,0))&amp;"",""))</f>
        <v/>
      </c>
      <c r="E134" s="0" t="str">
        <f aca="false">IF($A134="","",IFERROR(INDEX(Equipment!$F$5:$F$500,MATCH($A134,Equipment!$S$5:$S$500,0))&amp;"",""))</f>
        <v/>
      </c>
      <c r="F134" s="0" t="str">
        <f aca="false">IF($A134="","",IFERROR(INDEX(Equipment!$G$5:$G$500,MATCH($A134,Equipment!$S$5:$S$500,0))&amp;"",""))</f>
        <v/>
      </c>
      <c r="G134" s="0" t="str">
        <f aca="false">IF($A134="","",IFERROR(INDEX(Equipment!$H$5:$H$500,MATCH($A134,Equipment!$S$5:$S$500,0))&amp;"",""))</f>
        <v/>
      </c>
      <c r="H134" s="0" t="str">
        <f aca="false">IF($A134="","",IFERROR(INDEX(Equipment!$J$5:$J$500,MATCH($A134,Equipment!$S$5:$S$500,0))&amp;"",""))</f>
        <v/>
      </c>
      <c r="I134" s="0" t="str">
        <f aca="false">IF($A134="","",IFERROR(INDEX(Equipment!$K$5:$K$500,MATCH($A134,Equipment!$S$5:$S$500,0))&amp;"",""))</f>
        <v/>
      </c>
      <c r="J134" s="0" t="str">
        <f aca="false">IF($A134="","",IFERROR(INDEX(Equipment!$L$5:$L$500,MATCH($A134,Equipment!$S$5:$S$500,0))&amp;"",""))</f>
        <v/>
      </c>
      <c r="K134" s="0" t="str">
        <f aca="false">IF($A134="","",IFERROR(INDEX(Equipment!$Q$5:$Q$500,MATCH($A134,Equipment!$S$5:$S$500,0))&amp;"",""))</f>
        <v/>
      </c>
    </row>
    <row r="135" customFormat="false" ht="15" hidden="false" customHeight="false" outlineLevel="0" collapsed="false">
      <c r="A135" s="0" t="str">
        <f aca="false">IF(127&gt;$C$6,"",127)</f>
        <v/>
      </c>
      <c r="B135" s="0" t="str">
        <f aca="false">IF($A135="","",IFERROR(INDEX(Equipment!$A$5:$A$500,MATCH($A135,Equipment!$S$5:$S$500,0))&amp;"",""))</f>
        <v/>
      </c>
      <c r="C135" s="0" t="str">
        <f aca="false">IF($A135="","",IFERROR(INDEX(Equipment!$B$5:$B$500,MATCH($A135,Equipment!$S$5:$S$500,0))&amp;"",""))</f>
        <v/>
      </c>
      <c r="D135" s="0" t="str">
        <f aca="false">IF($A135="","",IFERROR(INDEX(Equipment!$E$5:$E$500,MATCH($A135,Equipment!$S$5:$S$500,0))&amp;"",""))</f>
        <v/>
      </c>
      <c r="E135" s="0" t="str">
        <f aca="false">IF($A135="","",IFERROR(INDEX(Equipment!$F$5:$F$500,MATCH($A135,Equipment!$S$5:$S$500,0))&amp;"",""))</f>
        <v/>
      </c>
      <c r="F135" s="0" t="str">
        <f aca="false">IF($A135="","",IFERROR(INDEX(Equipment!$G$5:$G$500,MATCH($A135,Equipment!$S$5:$S$500,0))&amp;"",""))</f>
        <v/>
      </c>
      <c r="G135" s="0" t="str">
        <f aca="false">IF($A135="","",IFERROR(INDEX(Equipment!$H$5:$H$500,MATCH($A135,Equipment!$S$5:$S$500,0))&amp;"",""))</f>
        <v/>
      </c>
      <c r="H135" s="0" t="str">
        <f aca="false">IF($A135="","",IFERROR(INDEX(Equipment!$J$5:$J$500,MATCH($A135,Equipment!$S$5:$S$500,0))&amp;"",""))</f>
        <v/>
      </c>
      <c r="I135" s="0" t="str">
        <f aca="false">IF($A135="","",IFERROR(INDEX(Equipment!$K$5:$K$500,MATCH($A135,Equipment!$S$5:$S$500,0))&amp;"",""))</f>
        <v/>
      </c>
      <c r="J135" s="0" t="str">
        <f aca="false">IF($A135="","",IFERROR(INDEX(Equipment!$L$5:$L$500,MATCH($A135,Equipment!$S$5:$S$500,0))&amp;"",""))</f>
        <v/>
      </c>
      <c r="K135" s="0" t="str">
        <f aca="false">IF($A135="","",IFERROR(INDEX(Equipment!$Q$5:$Q$500,MATCH($A135,Equipment!$S$5:$S$500,0))&amp;"",""))</f>
        <v/>
      </c>
    </row>
    <row r="136" customFormat="false" ht="15" hidden="false" customHeight="false" outlineLevel="0" collapsed="false">
      <c r="A136" s="0" t="str">
        <f aca="false">IF(128&gt;$C$6,"",128)</f>
        <v/>
      </c>
      <c r="B136" s="0" t="str">
        <f aca="false">IF($A136="","",IFERROR(INDEX(Equipment!$A$5:$A$500,MATCH($A136,Equipment!$S$5:$S$500,0))&amp;"",""))</f>
        <v/>
      </c>
      <c r="C136" s="0" t="str">
        <f aca="false">IF($A136="","",IFERROR(INDEX(Equipment!$B$5:$B$500,MATCH($A136,Equipment!$S$5:$S$500,0))&amp;"",""))</f>
        <v/>
      </c>
      <c r="D136" s="0" t="str">
        <f aca="false">IF($A136="","",IFERROR(INDEX(Equipment!$E$5:$E$500,MATCH($A136,Equipment!$S$5:$S$500,0))&amp;"",""))</f>
        <v/>
      </c>
      <c r="E136" s="0" t="str">
        <f aca="false">IF($A136="","",IFERROR(INDEX(Equipment!$F$5:$F$500,MATCH($A136,Equipment!$S$5:$S$500,0))&amp;"",""))</f>
        <v/>
      </c>
      <c r="F136" s="0" t="str">
        <f aca="false">IF($A136="","",IFERROR(INDEX(Equipment!$G$5:$G$500,MATCH($A136,Equipment!$S$5:$S$500,0))&amp;"",""))</f>
        <v/>
      </c>
      <c r="G136" s="0" t="str">
        <f aca="false">IF($A136="","",IFERROR(INDEX(Equipment!$H$5:$H$500,MATCH($A136,Equipment!$S$5:$S$500,0))&amp;"",""))</f>
        <v/>
      </c>
      <c r="H136" s="0" t="str">
        <f aca="false">IF($A136="","",IFERROR(INDEX(Equipment!$J$5:$J$500,MATCH($A136,Equipment!$S$5:$S$500,0))&amp;"",""))</f>
        <v/>
      </c>
      <c r="I136" s="0" t="str">
        <f aca="false">IF($A136="","",IFERROR(INDEX(Equipment!$K$5:$K$500,MATCH($A136,Equipment!$S$5:$S$500,0))&amp;"",""))</f>
        <v/>
      </c>
      <c r="J136" s="0" t="str">
        <f aca="false">IF($A136="","",IFERROR(INDEX(Equipment!$L$5:$L$500,MATCH($A136,Equipment!$S$5:$S$500,0))&amp;"",""))</f>
        <v/>
      </c>
      <c r="K136" s="0" t="str">
        <f aca="false">IF($A136="","",IFERROR(INDEX(Equipment!$Q$5:$Q$500,MATCH($A136,Equipment!$S$5:$S$500,0))&amp;"",""))</f>
        <v/>
      </c>
    </row>
    <row r="137" customFormat="false" ht="15" hidden="false" customHeight="false" outlineLevel="0" collapsed="false">
      <c r="A137" s="0" t="str">
        <f aca="false">IF(129&gt;$C$6,"",129)</f>
        <v/>
      </c>
      <c r="B137" s="0" t="str">
        <f aca="false">IF($A137="","",IFERROR(INDEX(Equipment!$A$5:$A$500,MATCH($A137,Equipment!$S$5:$S$500,0))&amp;"",""))</f>
        <v/>
      </c>
      <c r="C137" s="0" t="str">
        <f aca="false">IF($A137="","",IFERROR(INDEX(Equipment!$B$5:$B$500,MATCH($A137,Equipment!$S$5:$S$500,0))&amp;"",""))</f>
        <v/>
      </c>
      <c r="D137" s="0" t="str">
        <f aca="false">IF($A137="","",IFERROR(INDEX(Equipment!$E$5:$E$500,MATCH($A137,Equipment!$S$5:$S$500,0))&amp;"",""))</f>
        <v/>
      </c>
      <c r="E137" s="0" t="str">
        <f aca="false">IF($A137="","",IFERROR(INDEX(Equipment!$F$5:$F$500,MATCH($A137,Equipment!$S$5:$S$500,0))&amp;"",""))</f>
        <v/>
      </c>
      <c r="F137" s="0" t="str">
        <f aca="false">IF($A137="","",IFERROR(INDEX(Equipment!$G$5:$G$500,MATCH($A137,Equipment!$S$5:$S$500,0))&amp;"",""))</f>
        <v/>
      </c>
      <c r="G137" s="0" t="str">
        <f aca="false">IF($A137="","",IFERROR(INDEX(Equipment!$H$5:$H$500,MATCH($A137,Equipment!$S$5:$S$500,0))&amp;"",""))</f>
        <v/>
      </c>
      <c r="H137" s="0" t="str">
        <f aca="false">IF($A137="","",IFERROR(INDEX(Equipment!$J$5:$J$500,MATCH($A137,Equipment!$S$5:$S$500,0))&amp;"",""))</f>
        <v/>
      </c>
      <c r="I137" s="0" t="str">
        <f aca="false">IF($A137="","",IFERROR(INDEX(Equipment!$K$5:$K$500,MATCH($A137,Equipment!$S$5:$S$500,0))&amp;"",""))</f>
        <v/>
      </c>
      <c r="J137" s="0" t="str">
        <f aca="false">IF($A137="","",IFERROR(INDEX(Equipment!$L$5:$L$500,MATCH($A137,Equipment!$S$5:$S$500,0))&amp;"",""))</f>
        <v/>
      </c>
      <c r="K137" s="0" t="str">
        <f aca="false">IF($A137="","",IFERROR(INDEX(Equipment!$Q$5:$Q$500,MATCH($A137,Equipment!$S$5:$S$500,0))&amp;"",""))</f>
        <v/>
      </c>
    </row>
    <row r="138" customFormat="false" ht="15" hidden="false" customHeight="false" outlineLevel="0" collapsed="false">
      <c r="A138" s="0" t="str">
        <f aca="false">IF(130&gt;$C$6,"",130)</f>
        <v/>
      </c>
      <c r="B138" s="0" t="str">
        <f aca="false">IF($A138="","",IFERROR(INDEX(Equipment!$A$5:$A$500,MATCH($A138,Equipment!$S$5:$S$500,0))&amp;"",""))</f>
        <v/>
      </c>
      <c r="C138" s="0" t="str">
        <f aca="false">IF($A138="","",IFERROR(INDEX(Equipment!$B$5:$B$500,MATCH($A138,Equipment!$S$5:$S$500,0))&amp;"",""))</f>
        <v/>
      </c>
      <c r="D138" s="0" t="str">
        <f aca="false">IF($A138="","",IFERROR(INDEX(Equipment!$E$5:$E$500,MATCH($A138,Equipment!$S$5:$S$500,0))&amp;"",""))</f>
        <v/>
      </c>
      <c r="E138" s="0" t="str">
        <f aca="false">IF($A138="","",IFERROR(INDEX(Equipment!$F$5:$F$500,MATCH($A138,Equipment!$S$5:$S$500,0))&amp;"",""))</f>
        <v/>
      </c>
      <c r="F138" s="0" t="str">
        <f aca="false">IF($A138="","",IFERROR(INDEX(Equipment!$G$5:$G$500,MATCH($A138,Equipment!$S$5:$S$500,0))&amp;"",""))</f>
        <v/>
      </c>
      <c r="G138" s="0" t="str">
        <f aca="false">IF($A138="","",IFERROR(INDEX(Equipment!$H$5:$H$500,MATCH($A138,Equipment!$S$5:$S$500,0))&amp;"",""))</f>
        <v/>
      </c>
      <c r="H138" s="0" t="str">
        <f aca="false">IF($A138="","",IFERROR(INDEX(Equipment!$J$5:$J$500,MATCH($A138,Equipment!$S$5:$S$500,0))&amp;"",""))</f>
        <v/>
      </c>
      <c r="I138" s="0" t="str">
        <f aca="false">IF($A138="","",IFERROR(INDEX(Equipment!$K$5:$K$500,MATCH($A138,Equipment!$S$5:$S$500,0))&amp;"",""))</f>
        <v/>
      </c>
      <c r="J138" s="0" t="str">
        <f aca="false">IF($A138="","",IFERROR(INDEX(Equipment!$L$5:$L$500,MATCH($A138,Equipment!$S$5:$S$500,0))&amp;"",""))</f>
        <v/>
      </c>
      <c r="K138" s="0" t="str">
        <f aca="false">IF($A138="","",IFERROR(INDEX(Equipment!$Q$5:$Q$500,MATCH($A138,Equipment!$S$5:$S$500,0))&amp;"",""))</f>
        <v/>
      </c>
    </row>
    <row r="139" customFormat="false" ht="15" hidden="false" customHeight="false" outlineLevel="0" collapsed="false">
      <c r="A139" s="0" t="str">
        <f aca="false">IF(131&gt;$C$6,"",131)</f>
        <v/>
      </c>
      <c r="B139" s="0" t="str">
        <f aca="false">IF($A139="","",IFERROR(INDEX(Equipment!$A$5:$A$500,MATCH($A139,Equipment!$S$5:$S$500,0))&amp;"",""))</f>
        <v/>
      </c>
      <c r="C139" s="0" t="str">
        <f aca="false">IF($A139="","",IFERROR(INDEX(Equipment!$B$5:$B$500,MATCH($A139,Equipment!$S$5:$S$500,0))&amp;"",""))</f>
        <v/>
      </c>
      <c r="D139" s="0" t="str">
        <f aca="false">IF($A139="","",IFERROR(INDEX(Equipment!$E$5:$E$500,MATCH($A139,Equipment!$S$5:$S$500,0))&amp;"",""))</f>
        <v/>
      </c>
      <c r="E139" s="0" t="str">
        <f aca="false">IF($A139="","",IFERROR(INDEX(Equipment!$F$5:$F$500,MATCH($A139,Equipment!$S$5:$S$500,0))&amp;"",""))</f>
        <v/>
      </c>
      <c r="F139" s="0" t="str">
        <f aca="false">IF($A139="","",IFERROR(INDEX(Equipment!$G$5:$G$500,MATCH($A139,Equipment!$S$5:$S$500,0))&amp;"",""))</f>
        <v/>
      </c>
      <c r="G139" s="0" t="str">
        <f aca="false">IF($A139="","",IFERROR(INDEX(Equipment!$H$5:$H$500,MATCH($A139,Equipment!$S$5:$S$500,0))&amp;"",""))</f>
        <v/>
      </c>
      <c r="H139" s="0" t="str">
        <f aca="false">IF($A139="","",IFERROR(INDEX(Equipment!$J$5:$J$500,MATCH($A139,Equipment!$S$5:$S$500,0))&amp;"",""))</f>
        <v/>
      </c>
      <c r="I139" s="0" t="str">
        <f aca="false">IF($A139="","",IFERROR(INDEX(Equipment!$K$5:$K$500,MATCH($A139,Equipment!$S$5:$S$500,0))&amp;"",""))</f>
        <v/>
      </c>
      <c r="J139" s="0" t="str">
        <f aca="false">IF($A139="","",IFERROR(INDEX(Equipment!$L$5:$L$500,MATCH($A139,Equipment!$S$5:$S$500,0))&amp;"",""))</f>
        <v/>
      </c>
      <c r="K139" s="0" t="str">
        <f aca="false">IF($A139="","",IFERROR(INDEX(Equipment!$Q$5:$Q$500,MATCH($A139,Equipment!$S$5:$S$500,0))&amp;"",""))</f>
        <v/>
      </c>
    </row>
    <row r="140" customFormat="false" ht="15" hidden="false" customHeight="false" outlineLevel="0" collapsed="false">
      <c r="A140" s="0" t="str">
        <f aca="false">IF(132&gt;$C$6,"",132)</f>
        <v/>
      </c>
      <c r="B140" s="0" t="str">
        <f aca="false">IF($A140="","",IFERROR(INDEX(Equipment!$A$5:$A$500,MATCH($A140,Equipment!$S$5:$S$500,0))&amp;"",""))</f>
        <v/>
      </c>
      <c r="C140" s="0" t="str">
        <f aca="false">IF($A140="","",IFERROR(INDEX(Equipment!$B$5:$B$500,MATCH($A140,Equipment!$S$5:$S$500,0))&amp;"",""))</f>
        <v/>
      </c>
      <c r="D140" s="0" t="str">
        <f aca="false">IF($A140="","",IFERROR(INDEX(Equipment!$E$5:$E$500,MATCH($A140,Equipment!$S$5:$S$500,0))&amp;"",""))</f>
        <v/>
      </c>
      <c r="E140" s="0" t="str">
        <f aca="false">IF($A140="","",IFERROR(INDEX(Equipment!$F$5:$F$500,MATCH($A140,Equipment!$S$5:$S$500,0))&amp;"",""))</f>
        <v/>
      </c>
      <c r="F140" s="0" t="str">
        <f aca="false">IF($A140="","",IFERROR(INDEX(Equipment!$G$5:$G$500,MATCH($A140,Equipment!$S$5:$S$500,0))&amp;"",""))</f>
        <v/>
      </c>
      <c r="G140" s="0" t="str">
        <f aca="false">IF($A140="","",IFERROR(INDEX(Equipment!$H$5:$H$500,MATCH($A140,Equipment!$S$5:$S$500,0))&amp;"",""))</f>
        <v/>
      </c>
      <c r="H140" s="0" t="str">
        <f aca="false">IF($A140="","",IFERROR(INDEX(Equipment!$J$5:$J$500,MATCH($A140,Equipment!$S$5:$S$500,0))&amp;"",""))</f>
        <v/>
      </c>
      <c r="I140" s="0" t="str">
        <f aca="false">IF($A140="","",IFERROR(INDEX(Equipment!$K$5:$K$500,MATCH($A140,Equipment!$S$5:$S$500,0))&amp;"",""))</f>
        <v/>
      </c>
      <c r="J140" s="0" t="str">
        <f aca="false">IF($A140="","",IFERROR(INDEX(Equipment!$L$5:$L$500,MATCH($A140,Equipment!$S$5:$S$500,0))&amp;"",""))</f>
        <v/>
      </c>
      <c r="K140" s="0" t="str">
        <f aca="false">IF($A140="","",IFERROR(INDEX(Equipment!$Q$5:$Q$500,MATCH($A140,Equipment!$S$5:$S$500,0))&amp;"",""))</f>
        <v/>
      </c>
    </row>
    <row r="141" customFormat="false" ht="15" hidden="false" customHeight="false" outlineLevel="0" collapsed="false">
      <c r="A141" s="0" t="str">
        <f aca="false">IF(133&gt;$C$6,"",133)</f>
        <v/>
      </c>
      <c r="B141" s="0" t="str">
        <f aca="false">IF($A141="","",IFERROR(INDEX(Equipment!$A$5:$A$500,MATCH($A141,Equipment!$S$5:$S$500,0))&amp;"",""))</f>
        <v/>
      </c>
      <c r="C141" s="0" t="str">
        <f aca="false">IF($A141="","",IFERROR(INDEX(Equipment!$B$5:$B$500,MATCH($A141,Equipment!$S$5:$S$500,0))&amp;"",""))</f>
        <v/>
      </c>
      <c r="D141" s="0" t="str">
        <f aca="false">IF($A141="","",IFERROR(INDEX(Equipment!$E$5:$E$500,MATCH($A141,Equipment!$S$5:$S$500,0))&amp;"",""))</f>
        <v/>
      </c>
      <c r="E141" s="0" t="str">
        <f aca="false">IF($A141="","",IFERROR(INDEX(Equipment!$F$5:$F$500,MATCH($A141,Equipment!$S$5:$S$500,0))&amp;"",""))</f>
        <v/>
      </c>
      <c r="F141" s="0" t="str">
        <f aca="false">IF($A141="","",IFERROR(INDEX(Equipment!$G$5:$G$500,MATCH($A141,Equipment!$S$5:$S$500,0))&amp;"",""))</f>
        <v/>
      </c>
      <c r="G141" s="0" t="str">
        <f aca="false">IF($A141="","",IFERROR(INDEX(Equipment!$H$5:$H$500,MATCH($A141,Equipment!$S$5:$S$500,0))&amp;"",""))</f>
        <v/>
      </c>
      <c r="H141" s="0" t="str">
        <f aca="false">IF($A141="","",IFERROR(INDEX(Equipment!$J$5:$J$500,MATCH($A141,Equipment!$S$5:$S$500,0))&amp;"",""))</f>
        <v/>
      </c>
      <c r="I141" s="0" t="str">
        <f aca="false">IF($A141="","",IFERROR(INDEX(Equipment!$K$5:$K$500,MATCH($A141,Equipment!$S$5:$S$500,0))&amp;"",""))</f>
        <v/>
      </c>
      <c r="J141" s="0" t="str">
        <f aca="false">IF($A141="","",IFERROR(INDEX(Equipment!$L$5:$L$500,MATCH($A141,Equipment!$S$5:$S$500,0))&amp;"",""))</f>
        <v/>
      </c>
      <c r="K141" s="0" t="str">
        <f aca="false">IF($A141="","",IFERROR(INDEX(Equipment!$Q$5:$Q$500,MATCH($A141,Equipment!$S$5:$S$500,0))&amp;"",""))</f>
        <v/>
      </c>
    </row>
    <row r="142" customFormat="false" ht="15" hidden="false" customHeight="false" outlineLevel="0" collapsed="false">
      <c r="A142" s="0" t="str">
        <f aca="false">IF(134&gt;$C$6,"",134)</f>
        <v/>
      </c>
      <c r="B142" s="0" t="str">
        <f aca="false">IF($A142="","",IFERROR(INDEX(Equipment!$A$5:$A$500,MATCH($A142,Equipment!$S$5:$S$500,0))&amp;"",""))</f>
        <v/>
      </c>
      <c r="C142" s="0" t="str">
        <f aca="false">IF($A142="","",IFERROR(INDEX(Equipment!$B$5:$B$500,MATCH($A142,Equipment!$S$5:$S$500,0))&amp;"",""))</f>
        <v/>
      </c>
      <c r="D142" s="0" t="str">
        <f aca="false">IF($A142="","",IFERROR(INDEX(Equipment!$E$5:$E$500,MATCH($A142,Equipment!$S$5:$S$500,0))&amp;"",""))</f>
        <v/>
      </c>
      <c r="E142" s="0" t="str">
        <f aca="false">IF($A142="","",IFERROR(INDEX(Equipment!$F$5:$F$500,MATCH($A142,Equipment!$S$5:$S$500,0))&amp;"",""))</f>
        <v/>
      </c>
      <c r="F142" s="0" t="str">
        <f aca="false">IF($A142="","",IFERROR(INDEX(Equipment!$G$5:$G$500,MATCH($A142,Equipment!$S$5:$S$500,0))&amp;"",""))</f>
        <v/>
      </c>
      <c r="G142" s="0" t="str">
        <f aca="false">IF($A142="","",IFERROR(INDEX(Equipment!$H$5:$H$500,MATCH($A142,Equipment!$S$5:$S$500,0))&amp;"",""))</f>
        <v/>
      </c>
      <c r="H142" s="0" t="str">
        <f aca="false">IF($A142="","",IFERROR(INDEX(Equipment!$J$5:$J$500,MATCH($A142,Equipment!$S$5:$S$500,0))&amp;"",""))</f>
        <v/>
      </c>
      <c r="I142" s="0" t="str">
        <f aca="false">IF($A142="","",IFERROR(INDEX(Equipment!$K$5:$K$500,MATCH($A142,Equipment!$S$5:$S$500,0))&amp;"",""))</f>
        <v/>
      </c>
      <c r="J142" s="0" t="str">
        <f aca="false">IF($A142="","",IFERROR(INDEX(Equipment!$L$5:$L$500,MATCH($A142,Equipment!$S$5:$S$500,0))&amp;"",""))</f>
        <v/>
      </c>
      <c r="K142" s="0" t="str">
        <f aca="false">IF($A142="","",IFERROR(INDEX(Equipment!$Q$5:$Q$500,MATCH($A142,Equipment!$S$5:$S$500,0))&amp;"",""))</f>
        <v/>
      </c>
    </row>
    <row r="143" customFormat="false" ht="15" hidden="false" customHeight="false" outlineLevel="0" collapsed="false">
      <c r="A143" s="0" t="str">
        <f aca="false">IF(135&gt;$C$6,"",135)</f>
        <v/>
      </c>
      <c r="B143" s="0" t="str">
        <f aca="false">IF($A143="","",IFERROR(INDEX(Equipment!$A$5:$A$500,MATCH($A143,Equipment!$S$5:$S$500,0))&amp;"",""))</f>
        <v/>
      </c>
      <c r="C143" s="0" t="str">
        <f aca="false">IF($A143="","",IFERROR(INDEX(Equipment!$B$5:$B$500,MATCH($A143,Equipment!$S$5:$S$500,0))&amp;"",""))</f>
        <v/>
      </c>
      <c r="D143" s="0" t="str">
        <f aca="false">IF($A143="","",IFERROR(INDEX(Equipment!$E$5:$E$500,MATCH($A143,Equipment!$S$5:$S$500,0))&amp;"",""))</f>
        <v/>
      </c>
      <c r="E143" s="0" t="str">
        <f aca="false">IF($A143="","",IFERROR(INDEX(Equipment!$F$5:$F$500,MATCH($A143,Equipment!$S$5:$S$500,0))&amp;"",""))</f>
        <v/>
      </c>
      <c r="F143" s="0" t="str">
        <f aca="false">IF($A143="","",IFERROR(INDEX(Equipment!$G$5:$G$500,MATCH($A143,Equipment!$S$5:$S$500,0))&amp;"",""))</f>
        <v/>
      </c>
      <c r="G143" s="0" t="str">
        <f aca="false">IF($A143="","",IFERROR(INDEX(Equipment!$H$5:$H$500,MATCH($A143,Equipment!$S$5:$S$500,0))&amp;"",""))</f>
        <v/>
      </c>
      <c r="H143" s="0" t="str">
        <f aca="false">IF($A143="","",IFERROR(INDEX(Equipment!$J$5:$J$500,MATCH($A143,Equipment!$S$5:$S$500,0))&amp;"",""))</f>
        <v/>
      </c>
      <c r="I143" s="0" t="str">
        <f aca="false">IF($A143="","",IFERROR(INDEX(Equipment!$K$5:$K$500,MATCH($A143,Equipment!$S$5:$S$500,0))&amp;"",""))</f>
        <v/>
      </c>
      <c r="J143" s="0" t="str">
        <f aca="false">IF($A143="","",IFERROR(INDEX(Equipment!$L$5:$L$500,MATCH($A143,Equipment!$S$5:$S$500,0))&amp;"",""))</f>
        <v/>
      </c>
      <c r="K143" s="0" t="str">
        <f aca="false">IF($A143="","",IFERROR(INDEX(Equipment!$Q$5:$Q$500,MATCH($A143,Equipment!$S$5:$S$500,0))&amp;"",""))</f>
        <v/>
      </c>
    </row>
    <row r="144" customFormat="false" ht="15" hidden="false" customHeight="false" outlineLevel="0" collapsed="false">
      <c r="A144" s="0" t="str">
        <f aca="false">IF(136&gt;$C$6,"",136)</f>
        <v/>
      </c>
      <c r="B144" s="0" t="str">
        <f aca="false">IF($A144="","",IFERROR(INDEX(Equipment!$A$5:$A$500,MATCH($A144,Equipment!$S$5:$S$500,0))&amp;"",""))</f>
        <v/>
      </c>
      <c r="C144" s="0" t="str">
        <f aca="false">IF($A144="","",IFERROR(INDEX(Equipment!$B$5:$B$500,MATCH($A144,Equipment!$S$5:$S$500,0))&amp;"",""))</f>
        <v/>
      </c>
      <c r="D144" s="0" t="str">
        <f aca="false">IF($A144="","",IFERROR(INDEX(Equipment!$E$5:$E$500,MATCH($A144,Equipment!$S$5:$S$500,0))&amp;"",""))</f>
        <v/>
      </c>
      <c r="E144" s="0" t="str">
        <f aca="false">IF($A144="","",IFERROR(INDEX(Equipment!$F$5:$F$500,MATCH($A144,Equipment!$S$5:$S$500,0))&amp;"",""))</f>
        <v/>
      </c>
      <c r="F144" s="0" t="str">
        <f aca="false">IF($A144="","",IFERROR(INDEX(Equipment!$G$5:$G$500,MATCH($A144,Equipment!$S$5:$S$500,0))&amp;"",""))</f>
        <v/>
      </c>
      <c r="G144" s="0" t="str">
        <f aca="false">IF($A144="","",IFERROR(INDEX(Equipment!$H$5:$H$500,MATCH($A144,Equipment!$S$5:$S$500,0))&amp;"",""))</f>
        <v/>
      </c>
      <c r="H144" s="0" t="str">
        <f aca="false">IF($A144="","",IFERROR(INDEX(Equipment!$J$5:$J$500,MATCH($A144,Equipment!$S$5:$S$500,0))&amp;"",""))</f>
        <v/>
      </c>
      <c r="I144" s="0" t="str">
        <f aca="false">IF($A144="","",IFERROR(INDEX(Equipment!$K$5:$K$500,MATCH($A144,Equipment!$S$5:$S$500,0))&amp;"",""))</f>
        <v/>
      </c>
      <c r="J144" s="0" t="str">
        <f aca="false">IF($A144="","",IFERROR(INDEX(Equipment!$L$5:$L$500,MATCH($A144,Equipment!$S$5:$S$500,0))&amp;"",""))</f>
        <v/>
      </c>
      <c r="K144" s="0" t="str">
        <f aca="false">IF($A144="","",IFERROR(INDEX(Equipment!$Q$5:$Q$500,MATCH($A144,Equipment!$S$5:$S$500,0))&amp;"",""))</f>
        <v/>
      </c>
    </row>
    <row r="145" customFormat="false" ht="15" hidden="false" customHeight="false" outlineLevel="0" collapsed="false">
      <c r="A145" s="0" t="str">
        <f aca="false">IF(137&gt;$C$6,"",137)</f>
        <v/>
      </c>
      <c r="B145" s="0" t="str">
        <f aca="false">IF($A145="","",IFERROR(INDEX(Equipment!$A$5:$A$500,MATCH($A145,Equipment!$S$5:$S$500,0))&amp;"",""))</f>
        <v/>
      </c>
      <c r="C145" s="0" t="str">
        <f aca="false">IF($A145="","",IFERROR(INDEX(Equipment!$B$5:$B$500,MATCH($A145,Equipment!$S$5:$S$500,0))&amp;"",""))</f>
        <v/>
      </c>
      <c r="D145" s="0" t="str">
        <f aca="false">IF($A145="","",IFERROR(INDEX(Equipment!$E$5:$E$500,MATCH($A145,Equipment!$S$5:$S$500,0))&amp;"",""))</f>
        <v/>
      </c>
      <c r="E145" s="0" t="str">
        <f aca="false">IF($A145="","",IFERROR(INDEX(Equipment!$F$5:$F$500,MATCH($A145,Equipment!$S$5:$S$500,0))&amp;"",""))</f>
        <v/>
      </c>
      <c r="F145" s="0" t="str">
        <f aca="false">IF($A145="","",IFERROR(INDEX(Equipment!$G$5:$G$500,MATCH($A145,Equipment!$S$5:$S$500,0))&amp;"",""))</f>
        <v/>
      </c>
      <c r="G145" s="0" t="str">
        <f aca="false">IF($A145="","",IFERROR(INDEX(Equipment!$H$5:$H$500,MATCH($A145,Equipment!$S$5:$S$500,0))&amp;"",""))</f>
        <v/>
      </c>
      <c r="H145" s="0" t="str">
        <f aca="false">IF($A145="","",IFERROR(INDEX(Equipment!$J$5:$J$500,MATCH($A145,Equipment!$S$5:$S$500,0))&amp;"",""))</f>
        <v/>
      </c>
      <c r="I145" s="0" t="str">
        <f aca="false">IF($A145="","",IFERROR(INDEX(Equipment!$K$5:$K$500,MATCH($A145,Equipment!$S$5:$S$500,0))&amp;"",""))</f>
        <v/>
      </c>
      <c r="J145" s="0" t="str">
        <f aca="false">IF($A145="","",IFERROR(INDEX(Equipment!$L$5:$L$500,MATCH($A145,Equipment!$S$5:$S$500,0))&amp;"",""))</f>
        <v/>
      </c>
      <c r="K145" s="0" t="str">
        <f aca="false">IF($A145="","",IFERROR(INDEX(Equipment!$Q$5:$Q$500,MATCH($A145,Equipment!$S$5:$S$500,0))&amp;"",""))</f>
        <v/>
      </c>
    </row>
    <row r="146" customFormat="false" ht="15" hidden="false" customHeight="false" outlineLevel="0" collapsed="false">
      <c r="A146" s="0" t="str">
        <f aca="false">IF(138&gt;$C$6,"",138)</f>
        <v/>
      </c>
      <c r="B146" s="0" t="str">
        <f aca="false">IF($A146="","",IFERROR(INDEX(Equipment!$A$5:$A$500,MATCH($A146,Equipment!$S$5:$S$500,0))&amp;"",""))</f>
        <v/>
      </c>
      <c r="C146" s="0" t="str">
        <f aca="false">IF($A146="","",IFERROR(INDEX(Equipment!$B$5:$B$500,MATCH($A146,Equipment!$S$5:$S$500,0))&amp;"",""))</f>
        <v/>
      </c>
      <c r="D146" s="0" t="str">
        <f aca="false">IF($A146="","",IFERROR(INDEX(Equipment!$E$5:$E$500,MATCH($A146,Equipment!$S$5:$S$500,0))&amp;"",""))</f>
        <v/>
      </c>
      <c r="E146" s="0" t="str">
        <f aca="false">IF($A146="","",IFERROR(INDEX(Equipment!$F$5:$F$500,MATCH($A146,Equipment!$S$5:$S$500,0))&amp;"",""))</f>
        <v/>
      </c>
      <c r="F146" s="0" t="str">
        <f aca="false">IF($A146="","",IFERROR(INDEX(Equipment!$G$5:$G$500,MATCH($A146,Equipment!$S$5:$S$500,0))&amp;"",""))</f>
        <v/>
      </c>
      <c r="G146" s="0" t="str">
        <f aca="false">IF($A146="","",IFERROR(INDEX(Equipment!$H$5:$H$500,MATCH($A146,Equipment!$S$5:$S$500,0))&amp;"",""))</f>
        <v/>
      </c>
      <c r="H146" s="0" t="str">
        <f aca="false">IF($A146="","",IFERROR(INDEX(Equipment!$J$5:$J$500,MATCH($A146,Equipment!$S$5:$S$500,0))&amp;"",""))</f>
        <v/>
      </c>
      <c r="I146" s="0" t="str">
        <f aca="false">IF($A146="","",IFERROR(INDEX(Equipment!$K$5:$K$500,MATCH($A146,Equipment!$S$5:$S$500,0))&amp;"",""))</f>
        <v/>
      </c>
      <c r="J146" s="0" t="str">
        <f aca="false">IF($A146="","",IFERROR(INDEX(Equipment!$L$5:$L$500,MATCH($A146,Equipment!$S$5:$S$500,0))&amp;"",""))</f>
        <v/>
      </c>
      <c r="K146" s="0" t="str">
        <f aca="false">IF($A146="","",IFERROR(INDEX(Equipment!$Q$5:$Q$500,MATCH($A146,Equipment!$S$5:$S$500,0))&amp;"",""))</f>
        <v/>
      </c>
    </row>
    <row r="147" customFormat="false" ht="15" hidden="false" customHeight="false" outlineLevel="0" collapsed="false">
      <c r="A147" s="0" t="str">
        <f aca="false">IF(139&gt;$C$6,"",139)</f>
        <v/>
      </c>
      <c r="B147" s="0" t="str">
        <f aca="false">IF($A147="","",IFERROR(INDEX(Equipment!$A$5:$A$500,MATCH($A147,Equipment!$S$5:$S$500,0))&amp;"",""))</f>
        <v/>
      </c>
      <c r="C147" s="0" t="str">
        <f aca="false">IF($A147="","",IFERROR(INDEX(Equipment!$B$5:$B$500,MATCH($A147,Equipment!$S$5:$S$500,0))&amp;"",""))</f>
        <v/>
      </c>
      <c r="D147" s="0" t="str">
        <f aca="false">IF($A147="","",IFERROR(INDEX(Equipment!$E$5:$E$500,MATCH($A147,Equipment!$S$5:$S$500,0))&amp;"",""))</f>
        <v/>
      </c>
      <c r="E147" s="0" t="str">
        <f aca="false">IF($A147="","",IFERROR(INDEX(Equipment!$F$5:$F$500,MATCH($A147,Equipment!$S$5:$S$500,0))&amp;"",""))</f>
        <v/>
      </c>
      <c r="F147" s="0" t="str">
        <f aca="false">IF($A147="","",IFERROR(INDEX(Equipment!$G$5:$G$500,MATCH($A147,Equipment!$S$5:$S$500,0))&amp;"",""))</f>
        <v/>
      </c>
      <c r="G147" s="0" t="str">
        <f aca="false">IF($A147="","",IFERROR(INDEX(Equipment!$H$5:$H$500,MATCH($A147,Equipment!$S$5:$S$500,0))&amp;"",""))</f>
        <v/>
      </c>
      <c r="H147" s="0" t="str">
        <f aca="false">IF($A147="","",IFERROR(INDEX(Equipment!$J$5:$J$500,MATCH($A147,Equipment!$S$5:$S$500,0))&amp;"",""))</f>
        <v/>
      </c>
      <c r="I147" s="0" t="str">
        <f aca="false">IF($A147="","",IFERROR(INDEX(Equipment!$K$5:$K$500,MATCH($A147,Equipment!$S$5:$S$500,0))&amp;"",""))</f>
        <v/>
      </c>
      <c r="J147" s="0" t="str">
        <f aca="false">IF($A147="","",IFERROR(INDEX(Equipment!$L$5:$L$500,MATCH($A147,Equipment!$S$5:$S$500,0))&amp;"",""))</f>
        <v/>
      </c>
      <c r="K147" s="0" t="str">
        <f aca="false">IF($A147="","",IFERROR(INDEX(Equipment!$Q$5:$Q$500,MATCH($A147,Equipment!$S$5:$S$500,0))&amp;"",""))</f>
        <v/>
      </c>
    </row>
    <row r="148" customFormat="false" ht="15" hidden="false" customHeight="false" outlineLevel="0" collapsed="false">
      <c r="A148" s="0" t="str">
        <f aca="false">IF(140&gt;$C$6,"",140)</f>
        <v/>
      </c>
      <c r="B148" s="0" t="str">
        <f aca="false">IF($A148="","",IFERROR(INDEX(Equipment!$A$5:$A$500,MATCH($A148,Equipment!$S$5:$S$500,0))&amp;"",""))</f>
        <v/>
      </c>
      <c r="C148" s="0" t="str">
        <f aca="false">IF($A148="","",IFERROR(INDEX(Equipment!$B$5:$B$500,MATCH($A148,Equipment!$S$5:$S$500,0))&amp;"",""))</f>
        <v/>
      </c>
      <c r="D148" s="0" t="str">
        <f aca="false">IF($A148="","",IFERROR(INDEX(Equipment!$E$5:$E$500,MATCH($A148,Equipment!$S$5:$S$500,0))&amp;"",""))</f>
        <v/>
      </c>
      <c r="E148" s="0" t="str">
        <f aca="false">IF($A148="","",IFERROR(INDEX(Equipment!$F$5:$F$500,MATCH($A148,Equipment!$S$5:$S$500,0))&amp;"",""))</f>
        <v/>
      </c>
      <c r="F148" s="0" t="str">
        <f aca="false">IF($A148="","",IFERROR(INDEX(Equipment!$G$5:$G$500,MATCH($A148,Equipment!$S$5:$S$500,0))&amp;"",""))</f>
        <v/>
      </c>
      <c r="G148" s="0" t="str">
        <f aca="false">IF($A148="","",IFERROR(INDEX(Equipment!$H$5:$H$500,MATCH($A148,Equipment!$S$5:$S$500,0))&amp;"",""))</f>
        <v/>
      </c>
      <c r="H148" s="0" t="str">
        <f aca="false">IF($A148="","",IFERROR(INDEX(Equipment!$J$5:$J$500,MATCH($A148,Equipment!$S$5:$S$500,0))&amp;"",""))</f>
        <v/>
      </c>
      <c r="I148" s="0" t="str">
        <f aca="false">IF($A148="","",IFERROR(INDEX(Equipment!$K$5:$K$500,MATCH($A148,Equipment!$S$5:$S$500,0))&amp;"",""))</f>
        <v/>
      </c>
      <c r="J148" s="0" t="str">
        <f aca="false">IF($A148="","",IFERROR(INDEX(Equipment!$L$5:$L$500,MATCH($A148,Equipment!$S$5:$S$500,0))&amp;"",""))</f>
        <v/>
      </c>
      <c r="K148" s="0" t="str">
        <f aca="false">IF($A148="","",IFERROR(INDEX(Equipment!$Q$5:$Q$500,MATCH($A148,Equipment!$S$5:$S$500,0))&amp;"",""))</f>
        <v/>
      </c>
    </row>
    <row r="149" customFormat="false" ht="15" hidden="false" customHeight="false" outlineLevel="0" collapsed="false">
      <c r="A149" s="0" t="str">
        <f aca="false">IF(141&gt;$C$6,"",141)</f>
        <v/>
      </c>
      <c r="B149" s="0" t="str">
        <f aca="false">IF($A149="","",IFERROR(INDEX(Equipment!$A$5:$A$500,MATCH($A149,Equipment!$S$5:$S$500,0))&amp;"",""))</f>
        <v/>
      </c>
      <c r="C149" s="0" t="str">
        <f aca="false">IF($A149="","",IFERROR(INDEX(Equipment!$B$5:$B$500,MATCH($A149,Equipment!$S$5:$S$500,0))&amp;"",""))</f>
        <v/>
      </c>
      <c r="D149" s="0" t="str">
        <f aca="false">IF($A149="","",IFERROR(INDEX(Equipment!$E$5:$E$500,MATCH($A149,Equipment!$S$5:$S$500,0))&amp;"",""))</f>
        <v/>
      </c>
      <c r="E149" s="0" t="str">
        <f aca="false">IF($A149="","",IFERROR(INDEX(Equipment!$F$5:$F$500,MATCH($A149,Equipment!$S$5:$S$500,0))&amp;"",""))</f>
        <v/>
      </c>
      <c r="F149" s="0" t="str">
        <f aca="false">IF($A149="","",IFERROR(INDEX(Equipment!$G$5:$G$500,MATCH($A149,Equipment!$S$5:$S$500,0))&amp;"",""))</f>
        <v/>
      </c>
      <c r="G149" s="0" t="str">
        <f aca="false">IF($A149="","",IFERROR(INDEX(Equipment!$H$5:$H$500,MATCH($A149,Equipment!$S$5:$S$500,0))&amp;"",""))</f>
        <v/>
      </c>
      <c r="H149" s="0" t="str">
        <f aca="false">IF($A149="","",IFERROR(INDEX(Equipment!$J$5:$J$500,MATCH($A149,Equipment!$S$5:$S$500,0))&amp;"",""))</f>
        <v/>
      </c>
      <c r="I149" s="0" t="str">
        <f aca="false">IF($A149="","",IFERROR(INDEX(Equipment!$K$5:$K$500,MATCH($A149,Equipment!$S$5:$S$500,0))&amp;"",""))</f>
        <v/>
      </c>
      <c r="J149" s="0" t="str">
        <f aca="false">IF($A149="","",IFERROR(INDEX(Equipment!$L$5:$L$500,MATCH($A149,Equipment!$S$5:$S$500,0))&amp;"",""))</f>
        <v/>
      </c>
      <c r="K149" s="0" t="str">
        <f aca="false">IF($A149="","",IFERROR(INDEX(Equipment!$Q$5:$Q$500,MATCH($A149,Equipment!$S$5:$S$500,0))&amp;"",""))</f>
        <v/>
      </c>
    </row>
    <row r="150" customFormat="false" ht="15" hidden="false" customHeight="false" outlineLevel="0" collapsed="false">
      <c r="A150" s="0" t="str">
        <f aca="false">IF(142&gt;$C$6,"",142)</f>
        <v/>
      </c>
      <c r="B150" s="0" t="str">
        <f aca="false">IF($A150="","",IFERROR(INDEX(Equipment!$A$5:$A$500,MATCH($A150,Equipment!$S$5:$S$500,0))&amp;"",""))</f>
        <v/>
      </c>
      <c r="C150" s="0" t="str">
        <f aca="false">IF($A150="","",IFERROR(INDEX(Equipment!$B$5:$B$500,MATCH($A150,Equipment!$S$5:$S$500,0))&amp;"",""))</f>
        <v/>
      </c>
      <c r="D150" s="0" t="str">
        <f aca="false">IF($A150="","",IFERROR(INDEX(Equipment!$E$5:$E$500,MATCH($A150,Equipment!$S$5:$S$500,0))&amp;"",""))</f>
        <v/>
      </c>
      <c r="E150" s="0" t="str">
        <f aca="false">IF($A150="","",IFERROR(INDEX(Equipment!$F$5:$F$500,MATCH($A150,Equipment!$S$5:$S$500,0))&amp;"",""))</f>
        <v/>
      </c>
      <c r="F150" s="0" t="str">
        <f aca="false">IF($A150="","",IFERROR(INDEX(Equipment!$G$5:$G$500,MATCH($A150,Equipment!$S$5:$S$500,0))&amp;"",""))</f>
        <v/>
      </c>
      <c r="G150" s="0" t="str">
        <f aca="false">IF($A150="","",IFERROR(INDEX(Equipment!$H$5:$H$500,MATCH($A150,Equipment!$S$5:$S$500,0))&amp;"",""))</f>
        <v/>
      </c>
      <c r="H150" s="0" t="str">
        <f aca="false">IF($A150="","",IFERROR(INDEX(Equipment!$J$5:$J$500,MATCH($A150,Equipment!$S$5:$S$500,0))&amp;"",""))</f>
        <v/>
      </c>
      <c r="I150" s="0" t="str">
        <f aca="false">IF($A150="","",IFERROR(INDEX(Equipment!$K$5:$K$500,MATCH($A150,Equipment!$S$5:$S$500,0))&amp;"",""))</f>
        <v/>
      </c>
      <c r="J150" s="0" t="str">
        <f aca="false">IF($A150="","",IFERROR(INDEX(Equipment!$L$5:$L$500,MATCH($A150,Equipment!$S$5:$S$500,0))&amp;"",""))</f>
        <v/>
      </c>
      <c r="K150" s="0" t="str">
        <f aca="false">IF($A150="","",IFERROR(INDEX(Equipment!$Q$5:$Q$500,MATCH($A150,Equipment!$S$5:$S$500,0))&amp;"",""))</f>
        <v/>
      </c>
    </row>
    <row r="151" customFormat="false" ht="15" hidden="false" customHeight="false" outlineLevel="0" collapsed="false">
      <c r="A151" s="0" t="str">
        <f aca="false">IF(143&gt;$C$6,"",143)</f>
        <v/>
      </c>
      <c r="B151" s="0" t="str">
        <f aca="false">IF($A151="","",IFERROR(INDEX(Equipment!$A$5:$A$500,MATCH($A151,Equipment!$S$5:$S$500,0))&amp;"",""))</f>
        <v/>
      </c>
      <c r="C151" s="0" t="str">
        <f aca="false">IF($A151="","",IFERROR(INDEX(Equipment!$B$5:$B$500,MATCH($A151,Equipment!$S$5:$S$500,0))&amp;"",""))</f>
        <v/>
      </c>
      <c r="D151" s="0" t="str">
        <f aca="false">IF($A151="","",IFERROR(INDEX(Equipment!$E$5:$E$500,MATCH($A151,Equipment!$S$5:$S$500,0))&amp;"",""))</f>
        <v/>
      </c>
      <c r="E151" s="0" t="str">
        <f aca="false">IF($A151="","",IFERROR(INDEX(Equipment!$F$5:$F$500,MATCH($A151,Equipment!$S$5:$S$500,0))&amp;"",""))</f>
        <v/>
      </c>
      <c r="F151" s="0" t="str">
        <f aca="false">IF($A151="","",IFERROR(INDEX(Equipment!$G$5:$G$500,MATCH($A151,Equipment!$S$5:$S$500,0))&amp;"",""))</f>
        <v/>
      </c>
      <c r="G151" s="0" t="str">
        <f aca="false">IF($A151="","",IFERROR(INDEX(Equipment!$H$5:$H$500,MATCH($A151,Equipment!$S$5:$S$500,0))&amp;"",""))</f>
        <v/>
      </c>
      <c r="H151" s="0" t="str">
        <f aca="false">IF($A151="","",IFERROR(INDEX(Equipment!$J$5:$J$500,MATCH($A151,Equipment!$S$5:$S$500,0))&amp;"",""))</f>
        <v/>
      </c>
      <c r="I151" s="0" t="str">
        <f aca="false">IF($A151="","",IFERROR(INDEX(Equipment!$K$5:$K$500,MATCH($A151,Equipment!$S$5:$S$500,0))&amp;"",""))</f>
        <v/>
      </c>
      <c r="J151" s="0" t="str">
        <f aca="false">IF($A151="","",IFERROR(INDEX(Equipment!$L$5:$L$500,MATCH($A151,Equipment!$S$5:$S$500,0))&amp;"",""))</f>
        <v/>
      </c>
      <c r="K151" s="0" t="str">
        <f aca="false">IF($A151="","",IFERROR(INDEX(Equipment!$Q$5:$Q$500,MATCH($A151,Equipment!$S$5:$S$500,0))&amp;"",""))</f>
        <v/>
      </c>
    </row>
    <row r="152" customFormat="false" ht="15" hidden="false" customHeight="false" outlineLevel="0" collapsed="false">
      <c r="A152" s="0" t="str">
        <f aca="false">IF(144&gt;$C$6,"",144)</f>
        <v/>
      </c>
      <c r="B152" s="0" t="str">
        <f aca="false">IF($A152="","",IFERROR(INDEX(Equipment!$A$5:$A$500,MATCH($A152,Equipment!$S$5:$S$500,0))&amp;"",""))</f>
        <v/>
      </c>
      <c r="C152" s="0" t="str">
        <f aca="false">IF($A152="","",IFERROR(INDEX(Equipment!$B$5:$B$500,MATCH($A152,Equipment!$S$5:$S$500,0))&amp;"",""))</f>
        <v/>
      </c>
      <c r="D152" s="0" t="str">
        <f aca="false">IF($A152="","",IFERROR(INDEX(Equipment!$E$5:$E$500,MATCH($A152,Equipment!$S$5:$S$500,0))&amp;"",""))</f>
        <v/>
      </c>
      <c r="E152" s="0" t="str">
        <f aca="false">IF($A152="","",IFERROR(INDEX(Equipment!$F$5:$F$500,MATCH($A152,Equipment!$S$5:$S$500,0))&amp;"",""))</f>
        <v/>
      </c>
      <c r="F152" s="0" t="str">
        <f aca="false">IF($A152="","",IFERROR(INDEX(Equipment!$G$5:$G$500,MATCH($A152,Equipment!$S$5:$S$500,0))&amp;"",""))</f>
        <v/>
      </c>
      <c r="G152" s="0" t="str">
        <f aca="false">IF($A152="","",IFERROR(INDEX(Equipment!$H$5:$H$500,MATCH($A152,Equipment!$S$5:$S$500,0))&amp;"",""))</f>
        <v/>
      </c>
      <c r="H152" s="0" t="str">
        <f aca="false">IF($A152="","",IFERROR(INDEX(Equipment!$J$5:$J$500,MATCH($A152,Equipment!$S$5:$S$500,0))&amp;"",""))</f>
        <v/>
      </c>
      <c r="I152" s="0" t="str">
        <f aca="false">IF($A152="","",IFERROR(INDEX(Equipment!$K$5:$K$500,MATCH($A152,Equipment!$S$5:$S$500,0))&amp;"",""))</f>
        <v/>
      </c>
      <c r="J152" s="0" t="str">
        <f aca="false">IF($A152="","",IFERROR(INDEX(Equipment!$L$5:$L$500,MATCH($A152,Equipment!$S$5:$S$500,0))&amp;"",""))</f>
        <v/>
      </c>
      <c r="K152" s="0" t="str">
        <f aca="false">IF($A152="","",IFERROR(INDEX(Equipment!$Q$5:$Q$500,MATCH($A152,Equipment!$S$5:$S$500,0))&amp;"",""))</f>
        <v/>
      </c>
    </row>
    <row r="153" customFormat="false" ht="15" hidden="false" customHeight="false" outlineLevel="0" collapsed="false">
      <c r="A153" s="0" t="str">
        <f aca="false">IF(145&gt;$C$6,"",145)</f>
        <v/>
      </c>
      <c r="B153" s="0" t="str">
        <f aca="false">IF($A153="","",IFERROR(INDEX(Equipment!$A$5:$A$500,MATCH($A153,Equipment!$S$5:$S$500,0))&amp;"",""))</f>
        <v/>
      </c>
      <c r="C153" s="0" t="str">
        <f aca="false">IF($A153="","",IFERROR(INDEX(Equipment!$B$5:$B$500,MATCH($A153,Equipment!$S$5:$S$500,0))&amp;"",""))</f>
        <v/>
      </c>
      <c r="D153" s="0" t="str">
        <f aca="false">IF($A153="","",IFERROR(INDEX(Equipment!$E$5:$E$500,MATCH($A153,Equipment!$S$5:$S$500,0))&amp;"",""))</f>
        <v/>
      </c>
      <c r="E153" s="0" t="str">
        <f aca="false">IF($A153="","",IFERROR(INDEX(Equipment!$F$5:$F$500,MATCH($A153,Equipment!$S$5:$S$500,0))&amp;"",""))</f>
        <v/>
      </c>
      <c r="F153" s="0" t="str">
        <f aca="false">IF($A153="","",IFERROR(INDEX(Equipment!$G$5:$G$500,MATCH($A153,Equipment!$S$5:$S$500,0))&amp;"",""))</f>
        <v/>
      </c>
      <c r="G153" s="0" t="str">
        <f aca="false">IF($A153="","",IFERROR(INDEX(Equipment!$H$5:$H$500,MATCH($A153,Equipment!$S$5:$S$500,0))&amp;"",""))</f>
        <v/>
      </c>
      <c r="H153" s="0" t="str">
        <f aca="false">IF($A153="","",IFERROR(INDEX(Equipment!$J$5:$J$500,MATCH($A153,Equipment!$S$5:$S$500,0))&amp;"",""))</f>
        <v/>
      </c>
      <c r="I153" s="0" t="str">
        <f aca="false">IF($A153="","",IFERROR(INDEX(Equipment!$K$5:$K$500,MATCH($A153,Equipment!$S$5:$S$500,0))&amp;"",""))</f>
        <v/>
      </c>
      <c r="J153" s="0" t="str">
        <f aca="false">IF($A153="","",IFERROR(INDEX(Equipment!$L$5:$L$500,MATCH($A153,Equipment!$S$5:$S$500,0))&amp;"",""))</f>
        <v/>
      </c>
      <c r="K153" s="0" t="str">
        <f aca="false">IF($A153="","",IFERROR(INDEX(Equipment!$Q$5:$Q$500,MATCH($A153,Equipment!$S$5:$S$500,0))&amp;"",""))</f>
        <v/>
      </c>
    </row>
    <row r="154" customFormat="false" ht="15" hidden="false" customHeight="false" outlineLevel="0" collapsed="false">
      <c r="A154" s="0" t="str">
        <f aca="false">IF(146&gt;$C$6,"",146)</f>
        <v/>
      </c>
      <c r="B154" s="0" t="str">
        <f aca="false">IF($A154="","",IFERROR(INDEX(Equipment!$A$5:$A$500,MATCH($A154,Equipment!$S$5:$S$500,0))&amp;"",""))</f>
        <v/>
      </c>
      <c r="C154" s="0" t="str">
        <f aca="false">IF($A154="","",IFERROR(INDEX(Equipment!$B$5:$B$500,MATCH($A154,Equipment!$S$5:$S$500,0))&amp;"",""))</f>
        <v/>
      </c>
      <c r="D154" s="0" t="str">
        <f aca="false">IF($A154="","",IFERROR(INDEX(Equipment!$E$5:$E$500,MATCH($A154,Equipment!$S$5:$S$500,0))&amp;"",""))</f>
        <v/>
      </c>
      <c r="E154" s="0" t="str">
        <f aca="false">IF($A154="","",IFERROR(INDEX(Equipment!$F$5:$F$500,MATCH($A154,Equipment!$S$5:$S$500,0))&amp;"",""))</f>
        <v/>
      </c>
      <c r="F154" s="0" t="str">
        <f aca="false">IF($A154="","",IFERROR(INDEX(Equipment!$G$5:$G$500,MATCH($A154,Equipment!$S$5:$S$500,0))&amp;"",""))</f>
        <v/>
      </c>
      <c r="G154" s="0" t="str">
        <f aca="false">IF($A154="","",IFERROR(INDEX(Equipment!$H$5:$H$500,MATCH($A154,Equipment!$S$5:$S$500,0))&amp;"",""))</f>
        <v/>
      </c>
      <c r="H154" s="0" t="str">
        <f aca="false">IF($A154="","",IFERROR(INDEX(Equipment!$J$5:$J$500,MATCH($A154,Equipment!$S$5:$S$500,0))&amp;"",""))</f>
        <v/>
      </c>
      <c r="I154" s="0" t="str">
        <f aca="false">IF($A154="","",IFERROR(INDEX(Equipment!$K$5:$K$500,MATCH($A154,Equipment!$S$5:$S$500,0))&amp;"",""))</f>
        <v/>
      </c>
      <c r="J154" s="0" t="str">
        <f aca="false">IF($A154="","",IFERROR(INDEX(Equipment!$L$5:$L$500,MATCH($A154,Equipment!$S$5:$S$500,0))&amp;"",""))</f>
        <v/>
      </c>
      <c r="K154" s="0" t="str">
        <f aca="false">IF($A154="","",IFERROR(INDEX(Equipment!$Q$5:$Q$500,MATCH($A154,Equipment!$S$5:$S$500,0))&amp;"",""))</f>
        <v/>
      </c>
    </row>
    <row r="155" customFormat="false" ht="15" hidden="false" customHeight="false" outlineLevel="0" collapsed="false">
      <c r="A155" s="0" t="str">
        <f aca="false">IF(147&gt;$C$6,"",147)</f>
        <v/>
      </c>
      <c r="B155" s="0" t="str">
        <f aca="false">IF($A155="","",IFERROR(INDEX(Equipment!$A$5:$A$500,MATCH($A155,Equipment!$S$5:$S$500,0))&amp;"",""))</f>
        <v/>
      </c>
      <c r="C155" s="0" t="str">
        <f aca="false">IF($A155="","",IFERROR(INDEX(Equipment!$B$5:$B$500,MATCH($A155,Equipment!$S$5:$S$500,0))&amp;"",""))</f>
        <v/>
      </c>
      <c r="D155" s="0" t="str">
        <f aca="false">IF($A155="","",IFERROR(INDEX(Equipment!$E$5:$E$500,MATCH($A155,Equipment!$S$5:$S$500,0))&amp;"",""))</f>
        <v/>
      </c>
      <c r="E155" s="0" t="str">
        <f aca="false">IF($A155="","",IFERROR(INDEX(Equipment!$F$5:$F$500,MATCH($A155,Equipment!$S$5:$S$500,0))&amp;"",""))</f>
        <v/>
      </c>
      <c r="F155" s="0" t="str">
        <f aca="false">IF($A155="","",IFERROR(INDEX(Equipment!$G$5:$G$500,MATCH($A155,Equipment!$S$5:$S$500,0))&amp;"",""))</f>
        <v/>
      </c>
      <c r="G155" s="0" t="str">
        <f aca="false">IF($A155="","",IFERROR(INDEX(Equipment!$H$5:$H$500,MATCH($A155,Equipment!$S$5:$S$500,0))&amp;"",""))</f>
        <v/>
      </c>
      <c r="H155" s="0" t="str">
        <f aca="false">IF($A155="","",IFERROR(INDEX(Equipment!$J$5:$J$500,MATCH($A155,Equipment!$S$5:$S$500,0))&amp;"",""))</f>
        <v/>
      </c>
      <c r="I155" s="0" t="str">
        <f aca="false">IF($A155="","",IFERROR(INDEX(Equipment!$K$5:$K$500,MATCH($A155,Equipment!$S$5:$S$500,0))&amp;"",""))</f>
        <v/>
      </c>
      <c r="J155" s="0" t="str">
        <f aca="false">IF($A155="","",IFERROR(INDEX(Equipment!$L$5:$L$500,MATCH($A155,Equipment!$S$5:$S$500,0))&amp;"",""))</f>
        <v/>
      </c>
      <c r="K155" s="0" t="str">
        <f aca="false">IF($A155="","",IFERROR(INDEX(Equipment!$Q$5:$Q$500,MATCH($A155,Equipment!$S$5:$S$500,0))&amp;"",""))</f>
        <v/>
      </c>
    </row>
    <row r="156" customFormat="false" ht="15" hidden="false" customHeight="false" outlineLevel="0" collapsed="false">
      <c r="A156" s="0" t="str">
        <f aca="false">IF(148&gt;$C$6,"",148)</f>
        <v/>
      </c>
      <c r="B156" s="0" t="str">
        <f aca="false">IF($A156="","",IFERROR(INDEX(Equipment!$A$5:$A$500,MATCH($A156,Equipment!$S$5:$S$500,0))&amp;"",""))</f>
        <v/>
      </c>
      <c r="C156" s="0" t="str">
        <f aca="false">IF($A156="","",IFERROR(INDEX(Equipment!$B$5:$B$500,MATCH($A156,Equipment!$S$5:$S$500,0))&amp;"",""))</f>
        <v/>
      </c>
      <c r="D156" s="0" t="str">
        <f aca="false">IF($A156="","",IFERROR(INDEX(Equipment!$E$5:$E$500,MATCH($A156,Equipment!$S$5:$S$500,0))&amp;"",""))</f>
        <v/>
      </c>
      <c r="E156" s="0" t="str">
        <f aca="false">IF($A156="","",IFERROR(INDEX(Equipment!$F$5:$F$500,MATCH($A156,Equipment!$S$5:$S$500,0))&amp;"",""))</f>
        <v/>
      </c>
      <c r="F156" s="0" t="str">
        <f aca="false">IF($A156="","",IFERROR(INDEX(Equipment!$G$5:$G$500,MATCH($A156,Equipment!$S$5:$S$500,0))&amp;"",""))</f>
        <v/>
      </c>
      <c r="G156" s="0" t="str">
        <f aca="false">IF($A156="","",IFERROR(INDEX(Equipment!$H$5:$H$500,MATCH($A156,Equipment!$S$5:$S$500,0))&amp;"",""))</f>
        <v/>
      </c>
      <c r="H156" s="0" t="str">
        <f aca="false">IF($A156="","",IFERROR(INDEX(Equipment!$J$5:$J$500,MATCH($A156,Equipment!$S$5:$S$500,0))&amp;"",""))</f>
        <v/>
      </c>
      <c r="I156" s="0" t="str">
        <f aca="false">IF($A156="","",IFERROR(INDEX(Equipment!$K$5:$K$500,MATCH($A156,Equipment!$S$5:$S$500,0))&amp;"",""))</f>
        <v/>
      </c>
      <c r="J156" s="0" t="str">
        <f aca="false">IF($A156="","",IFERROR(INDEX(Equipment!$L$5:$L$500,MATCH($A156,Equipment!$S$5:$S$500,0))&amp;"",""))</f>
        <v/>
      </c>
      <c r="K156" s="0" t="str">
        <f aca="false">IF($A156="","",IFERROR(INDEX(Equipment!$Q$5:$Q$500,MATCH($A156,Equipment!$S$5:$S$500,0))&amp;"",""))</f>
        <v/>
      </c>
    </row>
    <row r="157" customFormat="false" ht="15" hidden="false" customHeight="false" outlineLevel="0" collapsed="false">
      <c r="A157" s="0" t="str">
        <f aca="false">IF(149&gt;$C$6,"",149)</f>
        <v/>
      </c>
      <c r="B157" s="0" t="str">
        <f aca="false">IF($A157="","",IFERROR(INDEX(Equipment!$A$5:$A$500,MATCH($A157,Equipment!$S$5:$S$500,0))&amp;"",""))</f>
        <v/>
      </c>
      <c r="C157" s="0" t="str">
        <f aca="false">IF($A157="","",IFERROR(INDEX(Equipment!$B$5:$B$500,MATCH($A157,Equipment!$S$5:$S$500,0))&amp;"",""))</f>
        <v/>
      </c>
      <c r="D157" s="0" t="str">
        <f aca="false">IF($A157="","",IFERROR(INDEX(Equipment!$E$5:$E$500,MATCH($A157,Equipment!$S$5:$S$500,0))&amp;"",""))</f>
        <v/>
      </c>
      <c r="E157" s="0" t="str">
        <f aca="false">IF($A157="","",IFERROR(INDEX(Equipment!$F$5:$F$500,MATCH($A157,Equipment!$S$5:$S$500,0))&amp;"",""))</f>
        <v/>
      </c>
      <c r="F157" s="0" t="str">
        <f aca="false">IF($A157="","",IFERROR(INDEX(Equipment!$G$5:$G$500,MATCH($A157,Equipment!$S$5:$S$500,0))&amp;"",""))</f>
        <v/>
      </c>
      <c r="G157" s="0" t="str">
        <f aca="false">IF($A157="","",IFERROR(INDEX(Equipment!$H$5:$H$500,MATCH($A157,Equipment!$S$5:$S$500,0))&amp;"",""))</f>
        <v/>
      </c>
      <c r="H157" s="0" t="str">
        <f aca="false">IF($A157="","",IFERROR(INDEX(Equipment!$J$5:$J$500,MATCH($A157,Equipment!$S$5:$S$500,0))&amp;"",""))</f>
        <v/>
      </c>
      <c r="I157" s="0" t="str">
        <f aca="false">IF($A157="","",IFERROR(INDEX(Equipment!$K$5:$K$500,MATCH($A157,Equipment!$S$5:$S$500,0))&amp;"",""))</f>
        <v/>
      </c>
      <c r="J157" s="0" t="str">
        <f aca="false">IF($A157="","",IFERROR(INDEX(Equipment!$L$5:$L$500,MATCH($A157,Equipment!$S$5:$S$500,0))&amp;"",""))</f>
        <v/>
      </c>
      <c r="K157" s="0" t="str">
        <f aca="false">IF($A157="","",IFERROR(INDEX(Equipment!$Q$5:$Q$500,MATCH($A157,Equipment!$S$5:$S$500,0))&amp;"",""))</f>
        <v/>
      </c>
    </row>
    <row r="158" customFormat="false" ht="15" hidden="false" customHeight="false" outlineLevel="0" collapsed="false">
      <c r="A158" s="0" t="str">
        <f aca="false">IF(150&gt;$C$6,"",150)</f>
        <v/>
      </c>
      <c r="B158" s="0" t="str">
        <f aca="false">IF($A158="","",IFERROR(INDEX(Equipment!$A$5:$A$500,MATCH($A158,Equipment!$S$5:$S$500,0))&amp;"",""))</f>
        <v/>
      </c>
      <c r="C158" s="0" t="str">
        <f aca="false">IF($A158="","",IFERROR(INDEX(Equipment!$B$5:$B$500,MATCH($A158,Equipment!$S$5:$S$500,0))&amp;"",""))</f>
        <v/>
      </c>
      <c r="D158" s="0" t="str">
        <f aca="false">IF($A158="","",IFERROR(INDEX(Equipment!$E$5:$E$500,MATCH($A158,Equipment!$S$5:$S$500,0))&amp;"",""))</f>
        <v/>
      </c>
      <c r="E158" s="0" t="str">
        <f aca="false">IF($A158="","",IFERROR(INDEX(Equipment!$F$5:$F$500,MATCH($A158,Equipment!$S$5:$S$500,0))&amp;"",""))</f>
        <v/>
      </c>
      <c r="F158" s="0" t="str">
        <f aca="false">IF($A158="","",IFERROR(INDEX(Equipment!$G$5:$G$500,MATCH($A158,Equipment!$S$5:$S$500,0))&amp;"",""))</f>
        <v/>
      </c>
      <c r="G158" s="0" t="str">
        <f aca="false">IF($A158="","",IFERROR(INDEX(Equipment!$H$5:$H$500,MATCH($A158,Equipment!$S$5:$S$500,0))&amp;"",""))</f>
        <v/>
      </c>
      <c r="H158" s="0" t="str">
        <f aca="false">IF($A158="","",IFERROR(INDEX(Equipment!$J$5:$J$500,MATCH($A158,Equipment!$S$5:$S$500,0))&amp;"",""))</f>
        <v/>
      </c>
      <c r="I158" s="0" t="str">
        <f aca="false">IF($A158="","",IFERROR(INDEX(Equipment!$K$5:$K$500,MATCH($A158,Equipment!$S$5:$S$500,0))&amp;"",""))</f>
        <v/>
      </c>
      <c r="J158" s="0" t="str">
        <f aca="false">IF($A158="","",IFERROR(INDEX(Equipment!$L$5:$L$500,MATCH($A158,Equipment!$S$5:$S$500,0))&amp;"",""))</f>
        <v/>
      </c>
      <c r="K158" s="0" t="str">
        <f aca="false">IF($A158="","",IFERROR(INDEX(Equipment!$Q$5:$Q$500,MATCH($A158,Equipment!$S$5:$S$500,0))&amp;"",""))</f>
        <v/>
      </c>
    </row>
    <row r="159" customFormat="false" ht="15" hidden="false" customHeight="false" outlineLevel="0" collapsed="false">
      <c r="A159" s="0" t="str">
        <f aca="false">IF(151&gt;$C$6,"",151)</f>
        <v/>
      </c>
      <c r="B159" s="0" t="str">
        <f aca="false">IF($A159="","",IFERROR(INDEX(Equipment!$A$5:$A$500,MATCH($A159,Equipment!$S$5:$S$500,0))&amp;"",""))</f>
        <v/>
      </c>
      <c r="C159" s="0" t="str">
        <f aca="false">IF($A159="","",IFERROR(INDEX(Equipment!$B$5:$B$500,MATCH($A159,Equipment!$S$5:$S$500,0))&amp;"",""))</f>
        <v/>
      </c>
      <c r="D159" s="0" t="str">
        <f aca="false">IF($A159="","",IFERROR(INDEX(Equipment!$E$5:$E$500,MATCH($A159,Equipment!$S$5:$S$500,0))&amp;"",""))</f>
        <v/>
      </c>
      <c r="E159" s="0" t="str">
        <f aca="false">IF($A159="","",IFERROR(INDEX(Equipment!$F$5:$F$500,MATCH($A159,Equipment!$S$5:$S$500,0))&amp;"",""))</f>
        <v/>
      </c>
      <c r="F159" s="0" t="str">
        <f aca="false">IF($A159="","",IFERROR(INDEX(Equipment!$G$5:$G$500,MATCH($A159,Equipment!$S$5:$S$500,0))&amp;"",""))</f>
        <v/>
      </c>
      <c r="G159" s="0" t="str">
        <f aca="false">IF($A159="","",IFERROR(INDEX(Equipment!$H$5:$H$500,MATCH($A159,Equipment!$S$5:$S$500,0))&amp;"",""))</f>
        <v/>
      </c>
      <c r="H159" s="0" t="str">
        <f aca="false">IF($A159="","",IFERROR(INDEX(Equipment!$J$5:$J$500,MATCH($A159,Equipment!$S$5:$S$500,0))&amp;"",""))</f>
        <v/>
      </c>
      <c r="I159" s="0" t="str">
        <f aca="false">IF($A159="","",IFERROR(INDEX(Equipment!$K$5:$K$500,MATCH($A159,Equipment!$S$5:$S$500,0))&amp;"",""))</f>
        <v/>
      </c>
      <c r="J159" s="0" t="str">
        <f aca="false">IF($A159="","",IFERROR(INDEX(Equipment!$L$5:$L$500,MATCH($A159,Equipment!$S$5:$S$500,0))&amp;"",""))</f>
        <v/>
      </c>
      <c r="K159" s="0" t="str">
        <f aca="false">IF($A159="","",IFERROR(INDEX(Equipment!$Q$5:$Q$500,MATCH($A159,Equipment!$S$5:$S$500,0))&amp;"",""))</f>
        <v/>
      </c>
    </row>
    <row r="160" customFormat="false" ht="15" hidden="false" customHeight="false" outlineLevel="0" collapsed="false">
      <c r="A160" s="0" t="str">
        <f aca="false">IF(152&gt;$C$6,"",152)</f>
        <v/>
      </c>
      <c r="B160" s="0" t="str">
        <f aca="false">IF($A160="","",IFERROR(INDEX(Equipment!$A$5:$A$500,MATCH($A160,Equipment!$S$5:$S$500,0))&amp;"",""))</f>
        <v/>
      </c>
      <c r="C160" s="0" t="str">
        <f aca="false">IF($A160="","",IFERROR(INDEX(Equipment!$B$5:$B$500,MATCH($A160,Equipment!$S$5:$S$500,0))&amp;"",""))</f>
        <v/>
      </c>
      <c r="D160" s="0" t="str">
        <f aca="false">IF($A160="","",IFERROR(INDEX(Equipment!$E$5:$E$500,MATCH($A160,Equipment!$S$5:$S$500,0))&amp;"",""))</f>
        <v/>
      </c>
      <c r="E160" s="0" t="str">
        <f aca="false">IF($A160="","",IFERROR(INDEX(Equipment!$F$5:$F$500,MATCH($A160,Equipment!$S$5:$S$500,0))&amp;"",""))</f>
        <v/>
      </c>
      <c r="F160" s="0" t="str">
        <f aca="false">IF($A160="","",IFERROR(INDEX(Equipment!$G$5:$G$500,MATCH($A160,Equipment!$S$5:$S$500,0))&amp;"",""))</f>
        <v/>
      </c>
      <c r="G160" s="0" t="str">
        <f aca="false">IF($A160="","",IFERROR(INDEX(Equipment!$H$5:$H$500,MATCH($A160,Equipment!$S$5:$S$500,0))&amp;"",""))</f>
        <v/>
      </c>
      <c r="H160" s="0" t="str">
        <f aca="false">IF($A160="","",IFERROR(INDEX(Equipment!$J$5:$J$500,MATCH($A160,Equipment!$S$5:$S$500,0))&amp;"",""))</f>
        <v/>
      </c>
      <c r="I160" s="0" t="str">
        <f aca="false">IF($A160="","",IFERROR(INDEX(Equipment!$K$5:$K$500,MATCH($A160,Equipment!$S$5:$S$500,0))&amp;"",""))</f>
        <v/>
      </c>
      <c r="J160" s="0" t="str">
        <f aca="false">IF($A160="","",IFERROR(INDEX(Equipment!$L$5:$L$500,MATCH($A160,Equipment!$S$5:$S$500,0))&amp;"",""))</f>
        <v/>
      </c>
      <c r="K160" s="0" t="str">
        <f aca="false">IF($A160="","",IFERROR(INDEX(Equipment!$Q$5:$Q$500,MATCH($A160,Equipment!$S$5:$S$500,0))&amp;"",""))</f>
        <v/>
      </c>
    </row>
    <row r="161" customFormat="false" ht="15" hidden="false" customHeight="false" outlineLevel="0" collapsed="false">
      <c r="A161" s="0" t="str">
        <f aca="false">IF(153&gt;$C$6,"",153)</f>
        <v/>
      </c>
      <c r="B161" s="0" t="str">
        <f aca="false">IF($A161="","",IFERROR(INDEX(Equipment!$A$5:$A$500,MATCH($A161,Equipment!$S$5:$S$500,0))&amp;"",""))</f>
        <v/>
      </c>
      <c r="C161" s="0" t="str">
        <f aca="false">IF($A161="","",IFERROR(INDEX(Equipment!$B$5:$B$500,MATCH($A161,Equipment!$S$5:$S$500,0))&amp;"",""))</f>
        <v/>
      </c>
      <c r="D161" s="0" t="str">
        <f aca="false">IF($A161="","",IFERROR(INDEX(Equipment!$E$5:$E$500,MATCH($A161,Equipment!$S$5:$S$500,0))&amp;"",""))</f>
        <v/>
      </c>
      <c r="E161" s="0" t="str">
        <f aca="false">IF($A161="","",IFERROR(INDEX(Equipment!$F$5:$F$500,MATCH($A161,Equipment!$S$5:$S$500,0))&amp;"",""))</f>
        <v/>
      </c>
      <c r="F161" s="0" t="str">
        <f aca="false">IF($A161="","",IFERROR(INDEX(Equipment!$G$5:$G$500,MATCH($A161,Equipment!$S$5:$S$500,0))&amp;"",""))</f>
        <v/>
      </c>
      <c r="G161" s="0" t="str">
        <f aca="false">IF($A161="","",IFERROR(INDEX(Equipment!$H$5:$H$500,MATCH($A161,Equipment!$S$5:$S$500,0))&amp;"",""))</f>
        <v/>
      </c>
      <c r="H161" s="0" t="str">
        <f aca="false">IF($A161="","",IFERROR(INDEX(Equipment!$J$5:$J$500,MATCH($A161,Equipment!$S$5:$S$500,0))&amp;"",""))</f>
        <v/>
      </c>
      <c r="I161" s="0" t="str">
        <f aca="false">IF($A161="","",IFERROR(INDEX(Equipment!$K$5:$K$500,MATCH($A161,Equipment!$S$5:$S$500,0))&amp;"",""))</f>
        <v/>
      </c>
      <c r="J161" s="0" t="str">
        <f aca="false">IF($A161="","",IFERROR(INDEX(Equipment!$L$5:$L$500,MATCH($A161,Equipment!$S$5:$S$500,0))&amp;"",""))</f>
        <v/>
      </c>
      <c r="K161" s="0" t="str">
        <f aca="false">IF($A161="","",IFERROR(INDEX(Equipment!$Q$5:$Q$500,MATCH($A161,Equipment!$S$5:$S$500,0))&amp;"",""))</f>
        <v/>
      </c>
    </row>
    <row r="162" customFormat="false" ht="15" hidden="false" customHeight="false" outlineLevel="0" collapsed="false">
      <c r="A162" s="0" t="str">
        <f aca="false">IF(154&gt;$C$6,"",154)</f>
        <v/>
      </c>
      <c r="B162" s="0" t="str">
        <f aca="false">IF($A162="","",IFERROR(INDEX(Equipment!$A$5:$A$500,MATCH($A162,Equipment!$S$5:$S$500,0))&amp;"",""))</f>
        <v/>
      </c>
      <c r="C162" s="0" t="str">
        <f aca="false">IF($A162="","",IFERROR(INDEX(Equipment!$B$5:$B$500,MATCH($A162,Equipment!$S$5:$S$500,0))&amp;"",""))</f>
        <v/>
      </c>
      <c r="D162" s="0" t="str">
        <f aca="false">IF($A162="","",IFERROR(INDEX(Equipment!$E$5:$E$500,MATCH($A162,Equipment!$S$5:$S$500,0))&amp;"",""))</f>
        <v/>
      </c>
      <c r="E162" s="0" t="str">
        <f aca="false">IF($A162="","",IFERROR(INDEX(Equipment!$F$5:$F$500,MATCH($A162,Equipment!$S$5:$S$500,0))&amp;"",""))</f>
        <v/>
      </c>
      <c r="F162" s="0" t="str">
        <f aca="false">IF($A162="","",IFERROR(INDEX(Equipment!$G$5:$G$500,MATCH($A162,Equipment!$S$5:$S$500,0))&amp;"",""))</f>
        <v/>
      </c>
      <c r="G162" s="0" t="str">
        <f aca="false">IF($A162="","",IFERROR(INDEX(Equipment!$H$5:$H$500,MATCH($A162,Equipment!$S$5:$S$500,0))&amp;"",""))</f>
        <v/>
      </c>
      <c r="H162" s="0" t="str">
        <f aca="false">IF($A162="","",IFERROR(INDEX(Equipment!$J$5:$J$500,MATCH($A162,Equipment!$S$5:$S$500,0))&amp;"",""))</f>
        <v/>
      </c>
      <c r="I162" s="0" t="str">
        <f aca="false">IF($A162="","",IFERROR(INDEX(Equipment!$K$5:$K$500,MATCH($A162,Equipment!$S$5:$S$500,0))&amp;"",""))</f>
        <v/>
      </c>
      <c r="J162" s="0" t="str">
        <f aca="false">IF($A162="","",IFERROR(INDEX(Equipment!$L$5:$L$500,MATCH($A162,Equipment!$S$5:$S$500,0))&amp;"",""))</f>
        <v/>
      </c>
      <c r="K162" s="0" t="str">
        <f aca="false">IF($A162="","",IFERROR(INDEX(Equipment!$Q$5:$Q$500,MATCH($A162,Equipment!$S$5:$S$500,0))&amp;"",""))</f>
        <v/>
      </c>
    </row>
    <row r="163" customFormat="false" ht="15" hidden="false" customHeight="false" outlineLevel="0" collapsed="false">
      <c r="A163" s="0" t="str">
        <f aca="false">IF(155&gt;$C$6,"",155)</f>
        <v/>
      </c>
      <c r="B163" s="0" t="str">
        <f aca="false">IF($A163="","",IFERROR(INDEX(Equipment!$A$5:$A$500,MATCH($A163,Equipment!$S$5:$S$500,0))&amp;"",""))</f>
        <v/>
      </c>
      <c r="C163" s="0" t="str">
        <f aca="false">IF($A163="","",IFERROR(INDEX(Equipment!$B$5:$B$500,MATCH($A163,Equipment!$S$5:$S$500,0))&amp;"",""))</f>
        <v/>
      </c>
      <c r="D163" s="0" t="str">
        <f aca="false">IF($A163="","",IFERROR(INDEX(Equipment!$E$5:$E$500,MATCH($A163,Equipment!$S$5:$S$500,0))&amp;"",""))</f>
        <v/>
      </c>
      <c r="E163" s="0" t="str">
        <f aca="false">IF($A163="","",IFERROR(INDEX(Equipment!$F$5:$F$500,MATCH($A163,Equipment!$S$5:$S$500,0))&amp;"",""))</f>
        <v/>
      </c>
      <c r="F163" s="0" t="str">
        <f aca="false">IF($A163="","",IFERROR(INDEX(Equipment!$G$5:$G$500,MATCH($A163,Equipment!$S$5:$S$500,0))&amp;"",""))</f>
        <v/>
      </c>
      <c r="G163" s="0" t="str">
        <f aca="false">IF($A163="","",IFERROR(INDEX(Equipment!$H$5:$H$500,MATCH($A163,Equipment!$S$5:$S$500,0))&amp;"",""))</f>
        <v/>
      </c>
      <c r="H163" s="0" t="str">
        <f aca="false">IF($A163="","",IFERROR(INDEX(Equipment!$J$5:$J$500,MATCH($A163,Equipment!$S$5:$S$500,0))&amp;"",""))</f>
        <v/>
      </c>
      <c r="I163" s="0" t="str">
        <f aca="false">IF($A163="","",IFERROR(INDEX(Equipment!$K$5:$K$500,MATCH($A163,Equipment!$S$5:$S$500,0))&amp;"",""))</f>
        <v/>
      </c>
      <c r="J163" s="0" t="str">
        <f aca="false">IF($A163="","",IFERROR(INDEX(Equipment!$L$5:$L$500,MATCH($A163,Equipment!$S$5:$S$500,0))&amp;"",""))</f>
        <v/>
      </c>
      <c r="K163" s="0" t="str">
        <f aca="false">IF($A163="","",IFERROR(INDEX(Equipment!$Q$5:$Q$500,MATCH($A163,Equipment!$S$5:$S$500,0))&amp;"",""))</f>
        <v/>
      </c>
    </row>
    <row r="164" customFormat="false" ht="15" hidden="false" customHeight="false" outlineLevel="0" collapsed="false">
      <c r="A164" s="0" t="str">
        <f aca="false">IF(156&gt;$C$6,"",156)</f>
        <v/>
      </c>
      <c r="B164" s="0" t="str">
        <f aca="false">IF($A164="","",IFERROR(INDEX(Equipment!$A$5:$A$500,MATCH($A164,Equipment!$S$5:$S$500,0))&amp;"",""))</f>
        <v/>
      </c>
      <c r="C164" s="0" t="str">
        <f aca="false">IF($A164="","",IFERROR(INDEX(Equipment!$B$5:$B$500,MATCH($A164,Equipment!$S$5:$S$500,0))&amp;"",""))</f>
        <v/>
      </c>
      <c r="D164" s="0" t="str">
        <f aca="false">IF($A164="","",IFERROR(INDEX(Equipment!$E$5:$E$500,MATCH($A164,Equipment!$S$5:$S$500,0))&amp;"",""))</f>
        <v/>
      </c>
      <c r="E164" s="0" t="str">
        <f aca="false">IF($A164="","",IFERROR(INDEX(Equipment!$F$5:$F$500,MATCH($A164,Equipment!$S$5:$S$500,0))&amp;"",""))</f>
        <v/>
      </c>
      <c r="F164" s="0" t="str">
        <f aca="false">IF($A164="","",IFERROR(INDEX(Equipment!$G$5:$G$500,MATCH($A164,Equipment!$S$5:$S$500,0))&amp;"",""))</f>
        <v/>
      </c>
      <c r="G164" s="0" t="str">
        <f aca="false">IF($A164="","",IFERROR(INDEX(Equipment!$H$5:$H$500,MATCH($A164,Equipment!$S$5:$S$500,0))&amp;"",""))</f>
        <v/>
      </c>
      <c r="H164" s="0" t="str">
        <f aca="false">IF($A164="","",IFERROR(INDEX(Equipment!$J$5:$J$500,MATCH($A164,Equipment!$S$5:$S$500,0))&amp;"",""))</f>
        <v/>
      </c>
      <c r="I164" s="0" t="str">
        <f aca="false">IF($A164="","",IFERROR(INDEX(Equipment!$K$5:$K$500,MATCH($A164,Equipment!$S$5:$S$500,0))&amp;"",""))</f>
        <v/>
      </c>
      <c r="J164" s="0" t="str">
        <f aca="false">IF($A164="","",IFERROR(INDEX(Equipment!$L$5:$L$500,MATCH($A164,Equipment!$S$5:$S$500,0))&amp;"",""))</f>
        <v/>
      </c>
      <c r="K164" s="0" t="str">
        <f aca="false">IF($A164="","",IFERROR(INDEX(Equipment!$Q$5:$Q$500,MATCH($A164,Equipment!$S$5:$S$500,0))&amp;"",""))</f>
        <v/>
      </c>
    </row>
    <row r="165" customFormat="false" ht="15" hidden="false" customHeight="false" outlineLevel="0" collapsed="false">
      <c r="A165" s="0" t="str">
        <f aca="false">IF(157&gt;$C$6,"",157)</f>
        <v/>
      </c>
      <c r="B165" s="0" t="str">
        <f aca="false">IF($A165="","",IFERROR(INDEX(Equipment!$A$5:$A$500,MATCH($A165,Equipment!$S$5:$S$500,0))&amp;"",""))</f>
        <v/>
      </c>
      <c r="C165" s="0" t="str">
        <f aca="false">IF($A165="","",IFERROR(INDEX(Equipment!$B$5:$B$500,MATCH($A165,Equipment!$S$5:$S$500,0))&amp;"",""))</f>
        <v/>
      </c>
      <c r="D165" s="0" t="str">
        <f aca="false">IF($A165="","",IFERROR(INDEX(Equipment!$E$5:$E$500,MATCH($A165,Equipment!$S$5:$S$500,0))&amp;"",""))</f>
        <v/>
      </c>
      <c r="E165" s="0" t="str">
        <f aca="false">IF($A165="","",IFERROR(INDEX(Equipment!$F$5:$F$500,MATCH($A165,Equipment!$S$5:$S$500,0))&amp;"",""))</f>
        <v/>
      </c>
      <c r="F165" s="0" t="str">
        <f aca="false">IF($A165="","",IFERROR(INDEX(Equipment!$G$5:$G$500,MATCH($A165,Equipment!$S$5:$S$500,0))&amp;"",""))</f>
        <v/>
      </c>
      <c r="G165" s="0" t="str">
        <f aca="false">IF($A165="","",IFERROR(INDEX(Equipment!$H$5:$H$500,MATCH($A165,Equipment!$S$5:$S$500,0))&amp;"",""))</f>
        <v/>
      </c>
      <c r="H165" s="0" t="str">
        <f aca="false">IF($A165="","",IFERROR(INDEX(Equipment!$J$5:$J$500,MATCH($A165,Equipment!$S$5:$S$500,0))&amp;"",""))</f>
        <v/>
      </c>
      <c r="I165" s="0" t="str">
        <f aca="false">IF($A165="","",IFERROR(INDEX(Equipment!$K$5:$K$500,MATCH($A165,Equipment!$S$5:$S$500,0))&amp;"",""))</f>
        <v/>
      </c>
      <c r="J165" s="0" t="str">
        <f aca="false">IF($A165="","",IFERROR(INDEX(Equipment!$L$5:$L$500,MATCH($A165,Equipment!$S$5:$S$500,0))&amp;"",""))</f>
        <v/>
      </c>
      <c r="K165" s="0" t="str">
        <f aca="false">IF($A165="","",IFERROR(INDEX(Equipment!$Q$5:$Q$500,MATCH($A165,Equipment!$S$5:$S$500,0))&amp;"",""))</f>
        <v/>
      </c>
    </row>
    <row r="166" customFormat="false" ht="15" hidden="false" customHeight="false" outlineLevel="0" collapsed="false">
      <c r="A166" s="0" t="str">
        <f aca="false">IF(158&gt;$C$6,"",158)</f>
        <v/>
      </c>
      <c r="B166" s="0" t="str">
        <f aca="false">IF($A166="","",IFERROR(INDEX(Equipment!$A$5:$A$500,MATCH($A166,Equipment!$S$5:$S$500,0))&amp;"",""))</f>
        <v/>
      </c>
      <c r="C166" s="0" t="str">
        <f aca="false">IF($A166="","",IFERROR(INDEX(Equipment!$B$5:$B$500,MATCH($A166,Equipment!$S$5:$S$500,0))&amp;"",""))</f>
        <v/>
      </c>
      <c r="D166" s="0" t="str">
        <f aca="false">IF($A166="","",IFERROR(INDEX(Equipment!$E$5:$E$500,MATCH($A166,Equipment!$S$5:$S$500,0))&amp;"",""))</f>
        <v/>
      </c>
      <c r="E166" s="0" t="str">
        <f aca="false">IF($A166="","",IFERROR(INDEX(Equipment!$F$5:$F$500,MATCH($A166,Equipment!$S$5:$S$500,0))&amp;"",""))</f>
        <v/>
      </c>
      <c r="F166" s="0" t="str">
        <f aca="false">IF($A166="","",IFERROR(INDEX(Equipment!$G$5:$G$500,MATCH($A166,Equipment!$S$5:$S$500,0))&amp;"",""))</f>
        <v/>
      </c>
      <c r="G166" s="0" t="str">
        <f aca="false">IF($A166="","",IFERROR(INDEX(Equipment!$H$5:$H$500,MATCH($A166,Equipment!$S$5:$S$500,0))&amp;"",""))</f>
        <v/>
      </c>
      <c r="H166" s="0" t="str">
        <f aca="false">IF($A166="","",IFERROR(INDEX(Equipment!$J$5:$J$500,MATCH($A166,Equipment!$S$5:$S$500,0))&amp;"",""))</f>
        <v/>
      </c>
      <c r="I166" s="0" t="str">
        <f aca="false">IF($A166="","",IFERROR(INDEX(Equipment!$K$5:$K$500,MATCH($A166,Equipment!$S$5:$S$500,0))&amp;"",""))</f>
        <v/>
      </c>
      <c r="J166" s="0" t="str">
        <f aca="false">IF($A166="","",IFERROR(INDEX(Equipment!$L$5:$L$500,MATCH($A166,Equipment!$S$5:$S$500,0))&amp;"",""))</f>
        <v/>
      </c>
      <c r="K166" s="0" t="str">
        <f aca="false">IF($A166="","",IFERROR(INDEX(Equipment!$Q$5:$Q$500,MATCH($A166,Equipment!$S$5:$S$500,0))&amp;"",""))</f>
        <v/>
      </c>
    </row>
    <row r="167" customFormat="false" ht="15" hidden="false" customHeight="false" outlineLevel="0" collapsed="false">
      <c r="A167" s="0" t="str">
        <f aca="false">IF(159&gt;$C$6,"",159)</f>
        <v/>
      </c>
      <c r="B167" s="0" t="str">
        <f aca="false">IF($A167="","",IFERROR(INDEX(Equipment!$A$5:$A$500,MATCH($A167,Equipment!$S$5:$S$500,0))&amp;"",""))</f>
        <v/>
      </c>
      <c r="C167" s="0" t="str">
        <f aca="false">IF($A167="","",IFERROR(INDEX(Equipment!$B$5:$B$500,MATCH($A167,Equipment!$S$5:$S$500,0))&amp;"",""))</f>
        <v/>
      </c>
      <c r="D167" s="0" t="str">
        <f aca="false">IF($A167="","",IFERROR(INDEX(Equipment!$E$5:$E$500,MATCH($A167,Equipment!$S$5:$S$500,0))&amp;"",""))</f>
        <v/>
      </c>
      <c r="E167" s="0" t="str">
        <f aca="false">IF($A167="","",IFERROR(INDEX(Equipment!$F$5:$F$500,MATCH($A167,Equipment!$S$5:$S$500,0))&amp;"",""))</f>
        <v/>
      </c>
      <c r="F167" s="0" t="str">
        <f aca="false">IF($A167="","",IFERROR(INDEX(Equipment!$G$5:$G$500,MATCH($A167,Equipment!$S$5:$S$500,0))&amp;"",""))</f>
        <v/>
      </c>
      <c r="G167" s="0" t="str">
        <f aca="false">IF($A167="","",IFERROR(INDEX(Equipment!$H$5:$H$500,MATCH($A167,Equipment!$S$5:$S$500,0))&amp;"",""))</f>
        <v/>
      </c>
      <c r="H167" s="0" t="str">
        <f aca="false">IF($A167="","",IFERROR(INDEX(Equipment!$J$5:$J$500,MATCH($A167,Equipment!$S$5:$S$500,0))&amp;"",""))</f>
        <v/>
      </c>
      <c r="I167" s="0" t="str">
        <f aca="false">IF($A167="","",IFERROR(INDEX(Equipment!$K$5:$K$500,MATCH($A167,Equipment!$S$5:$S$500,0))&amp;"",""))</f>
        <v/>
      </c>
      <c r="J167" s="0" t="str">
        <f aca="false">IF($A167="","",IFERROR(INDEX(Equipment!$L$5:$L$500,MATCH($A167,Equipment!$S$5:$S$500,0))&amp;"",""))</f>
        <v/>
      </c>
      <c r="K167" s="0" t="str">
        <f aca="false">IF($A167="","",IFERROR(INDEX(Equipment!$Q$5:$Q$500,MATCH($A167,Equipment!$S$5:$S$500,0))&amp;"",""))</f>
        <v/>
      </c>
    </row>
    <row r="168" customFormat="false" ht="15" hidden="false" customHeight="false" outlineLevel="0" collapsed="false">
      <c r="A168" s="0" t="str">
        <f aca="false">IF(160&gt;$C$6,"",160)</f>
        <v/>
      </c>
      <c r="B168" s="0" t="str">
        <f aca="false">IF($A168="","",IFERROR(INDEX(Equipment!$A$5:$A$500,MATCH($A168,Equipment!$S$5:$S$500,0))&amp;"",""))</f>
        <v/>
      </c>
      <c r="C168" s="0" t="str">
        <f aca="false">IF($A168="","",IFERROR(INDEX(Equipment!$B$5:$B$500,MATCH($A168,Equipment!$S$5:$S$500,0))&amp;"",""))</f>
        <v/>
      </c>
      <c r="D168" s="0" t="str">
        <f aca="false">IF($A168="","",IFERROR(INDEX(Equipment!$E$5:$E$500,MATCH($A168,Equipment!$S$5:$S$500,0))&amp;"",""))</f>
        <v/>
      </c>
      <c r="E168" s="0" t="str">
        <f aca="false">IF($A168="","",IFERROR(INDEX(Equipment!$F$5:$F$500,MATCH($A168,Equipment!$S$5:$S$500,0))&amp;"",""))</f>
        <v/>
      </c>
      <c r="F168" s="0" t="str">
        <f aca="false">IF($A168="","",IFERROR(INDEX(Equipment!$G$5:$G$500,MATCH($A168,Equipment!$S$5:$S$500,0))&amp;"",""))</f>
        <v/>
      </c>
      <c r="G168" s="0" t="str">
        <f aca="false">IF($A168="","",IFERROR(INDEX(Equipment!$H$5:$H$500,MATCH($A168,Equipment!$S$5:$S$500,0))&amp;"",""))</f>
        <v/>
      </c>
      <c r="H168" s="0" t="str">
        <f aca="false">IF($A168="","",IFERROR(INDEX(Equipment!$J$5:$J$500,MATCH($A168,Equipment!$S$5:$S$500,0))&amp;"",""))</f>
        <v/>
      </c>
      <c r="I168" s="0" t="str">
        <f aca="false">IF($A168="","",IFERROR(INDEX(Equipment!$K$5:$K$500,MATCH($A168,Equipment!$S$5:$S$500,0))&amp;"",""))</f>
        <v/>
      </c>
      <c r="J168" s="0" t="str">
        <f aca="false">IF($A168="","",IFERROR(INDEX(Equipment!$L$5:$L$500,MATCH($A168,Equipment!$S$5:$S$500,0))&amp;"",""))</f>
        <v/>
      </c>
      <c r="K168" s="0" t="str">
        <f aca="false">IF($A168="","",IFERROR(INDEX(Equipment!$Q$5:$Q$500,MATCH($A168,Equipment!$S$5:$S$500,0))&amp;"",""))</f>
        <v/>
      </c>
    </row>
    <row r="169" customFormat="false" ht="15" hidden="false" customHeight="false" outlineLevel="0" collapsed="false">
      <c r="A169" s="0" t="str">
        <f aca="false">IF(161&gt;$C$6,"",161)</f>
        <v/>
      </c>
      <c r="B169" s="0" t="str">
        <f aca="false">IF($A169="","",IFERROR(INDEX(Equipment!$A$5:$A$500,MATCH($A169,Equipment!$S$5:$S$500,0))&amp;"",""))</f>
        <v/>
      </c>
      <c r="C169" s="0" t="str">
        <f aca="false">IF($A169="","",IFERROR(INDEX(Equipment!$B$5:$B$500,MATCH($A169,Equipment!$S$5:$S$500,0))&amp;"",""))</f>
        <v/>
      </c>
      <c r="D169" s="0" t="str">
        <f aca="false">IF($A169="","",IFERROR(INDEX(Equipment!$E$5:$E$500,MATCH($A169,Equipment!$S$5:$S$500,0))&amp;"",""))</f>
        <v/>
      </c>
      <c r="E169" s="0" t="str">
        <f aca="false">IF($A169="","",IFERROR(INDEX(Equipment!$F$5:$F$500,MATCH($A169,Equipment!$S$5:$S$500,0))&amp;"",""))</f>
        <v/>
      </c>
      <c r="F169" s="0" t="str">
        <f aca="false">IF($A169="","",IFERROR(INDEX(Equipment!$G$5:$G$500,MATCH($A169,Equipment!$S$5:$S$500,0))&amp;"",""))</f>
        <v/>
      </c>
      <c r="G169" s="0" t="str">
        <f aca="false">IF($A169="","",IFERROR(INDEX(Equipment!$H$5:$H$500,MATCH($A169,Equipment!$S$5:$S$500,0))&amp;"",""))</f>
        <v/>
      </c>
      <c r="H169" s="0" t="str">
        <f aca="false">IF($A169="","",IFERROR(INDEX(Equipment!$J$5:$J$500,MATCH($A169,Equipment!$S$5:$S$500,0))&amp;"",""))</f>
        <v/>
      </c>
      <c r="I169" s="0" t="str">
        <f aca="false">IF($A169="","",IFERROR(INDEX(Equipment!$K$5:$K$500,MATCH($A169,Equipment!$S$5:$S$500,0))&amp;"",""))</f>
        <v/>
      </c>
      <c r="J169" s="0" t="str">
        <f aca="false">IF($A169="","",IFERROR(INDEX(Equipment!$L$5:$L$500,MATCH($A169,Equipment!$S$5:$S$500,0))&amp;"",""))</f>
        <v/>
      </c>
      <c r="K169" s="0" t="str">
        <f aca="false">IF($A169="","",IFERROR(INDEX(Equipment!$Q$5:$Q$500,MATCH($A169,Equipment!$S$5:$S$500,0))&amp;"",""))</f>
        <v/>
      </c>
    </row>
    <row r="170" customFormat="false" ht="15" hidden="false" customHeight="false" outlineLevel="0" collapsed="false">
      <c r="A170" s="0" t="str">
        <f aca="false">IF(162&gt;$C$6,"",162)</f>
        <v/>
      </c>
      <c r="B170" s="0" t="str">
        <f aca="false">IF($A170="","",IFERROR(INDEX(Equipment!$A$5:$A$500,MATCH($A170,Equipment!$S$5:$S$500,0))&amp;"",""))</f>
        <v/>
      </c>
      <c r="C170" s="0" t="str">
        <f aca="false">IF($A170="","",IFERROR(INDEX(Equipment!$B$5:$B$500,MATCH($A170,Equipment!$S$5:$S$500,0))&amp;"",""))</f>
        <v/>
      </c>
      <c r="D170" s="0" t="str">
        <f aca="false">IF($A170="","",IFERROR(INDEX(Equipment!$E$5:$E$500,MATCH($A170,Equipment!$S$5:$S$500,0))&amp;"",""))</f>
        <v/>
      </c>
      <c r="E170" s="0" t="str">
        <f aca="false">IF($A170="","",IFERROR(INDEX(Equipment!$F$5:$F$500,MATCH($A170,Equipment!$S$5:$S$500,0))&amp;"",""))</f>
        <v/>
      </c>
      <c r="F170" s="0" t="str">
        <f aca="false">IF($A170="","",IFERROR(INDEX(Equipment!$G$5:$G$500,MATCH($A170,Equipment!$S$5:$S$500,0))&amp;"",""))</f>
        <v/>
      </c>
      <c r="G170" s="0" t="str">
        <f aca="false">IF($A170="","",IFERROR(INDEX(Equipment!$H$5:$H$500,MATCH($A170,Equipment!$S$5:$S$500,0))&amp;"",""))</f>
        <v/>
      </c>
      <c r="H170" s="0" t="str">
        <f aca="false">IF($A170="","",IFERROR(INDEX(Equipment!$J$5:$J$500,MATCH($A170,Equipment!$S$5:$S$500,0))&amp;"",""))</f>
        <v/>
      </c>
      <c r="I170" s="0" t="str">
        <f aca="false">IF($A170="","",IFERROR(INDEX(Equipment!$K$5:$K$500,MATCH($A170,Equipment!$S$5:$S$500,0))&amp;"",""))</f>
        <v/>
      </c>
      <c r="J170" s="0" t="str">
        <f aca="false">IF($A170="","",IFERROR(INDEX(Equipment!$L$5:$L$500,MATCH($A170,Equipment!$S$5:$S$500,0))&amp;"",""))</f>
        <v/>
      </c>
      <c r="K170" s="0" t="str">
        <f aca="false">IF($A170="","",IFERROR(INDEX(Equipment!$Q$5:$Q$500,MATCH($A170,Equipment!$S$5:$S$500,0))&amp;"",""))</f>
        <v/>
      </c>
    </row>
    <row r="171" customFormat="false" ht="15" hidden="false" customHeight="false" outlineLevel="0" collapsed="false">
      <c r="A171" s="0" t="str">
        <f aca="false">IF(163&gt;$C$6,"",163)</f>
        <v/>
      </c>
      <c r="B171" s="0" t="str">
        <f aca="false">IF($A171="","",IFERROR(INDEX(Equipment!$A$5:$A$500,MATCH($A171,Equipment!$S$5:$S$500,0))&amp;"",""))</f>
        <v/>
      </c>
      <c r="C171" s="0" t="str">
        <f aca="false">IF($A171="","",IFERROR(INDEX(Equipment!$B$5:$B$500,MATCH($A171,Equipment!$S$5:$S$500,0))&amp;"",""))</f>
        <v/>
      </c>
      <c r="D171" s="0" t="str">
        <f aca="false">IF($A171="","",IFERROR(INDEX(Equipment!$E$5:$E$500,MATCH($A171,Equipment!$S$5:$S$500,0))&amp;"",""))</f>
        <v/>
      </c>
      <c r="E171" s="0" t="str">
        <f aca="false">IF($A171="","",IFERROR(INDEX(Equipment!$F$5:$F$500,MATCH($A171,Equipment!$S$5:$S$500,0))&amp;"",""))</f>
        <v/>
      </c>
      <c r="F171" s="0" t="str">
        <f aca="false">IF($A171="","",IFERROR(INDEX(Equipment!$G$5:$G$500,MATCH($A171,Equipment!$S$5:$S$500,0))&amp;"",""))</f>
        <v/>
      </c>
      <c r="G171" s="0" t="str">
        <f aca="false">IF($A171="","",IFERROR(INDEX(Equipment!$H$5:$H$500,MATCH($A171,Equipment!$S$5:$S$500,0))&amp;"",""))</f>
        <v/>
      </c>
      <c r="H171" s="0" t="str">
        <f aca="false">IF($A171="","",IFERROR(INDEX(Equipment!$J$5:$J$500,MATCH($A171,Equipment!$S$5:$S$500,0))&amp;"",""))</f>
        <v/>
      </c>
      <c r="I171" s="0" t="str">
        <f aca="false">IF($A171="","",IFERROR(INDEX(Equipment!$K$5:$K$500,MATCH($A171,Equipment!$S$5:$S$500,0))&amp;"",""))</f>
        <v/>
      </c>
      <c r="J171" s="0" t="str">
        <f aca="false">IF($A171="","",IFERROR(INDEX(Equipment!$L$5:$L$500,MATCH($A171,Equipment!$S$5:$S$500,0))&amp;"",""))</f>
        <v/>
      </c>
      <c r="K171" s="0" t="str">
        <f aca="false">IF($A171="","",IFERROR(INDEX(Equipment!$Q$5:$Q$500,MATCH($A171,Equipment!$S$5:$S$500,0))&amp;"",""))</f>
        <v/>
      </c>
    </row>
    <row r="172" customFormat="false" ht="15" hidden="false" customHeight="false" outlineLevel="0" collapsed="false">
      <c r="A172" s="0" t="str">
        <f aca="false">IF(164&gt;$C$6,"",164)</f>
        <v/>
      </c>
      <c r="B172" s="0" t="str">
        <f aca="false">IF($A172="","",IFERROR(INDEX(Equipment!$A$5:$A$500,MATCH($A172,Equipment!$S$5:$S$500,0))&amp;"",""))</f>
        <v/>
      </c>
      <c r="C172" s="0" t="str">
        <f aca="false">IF($A172="","",IFERROR(INDEX(Equipment!$B$5:$B$500,MATCH($A172,Equipment!$S$5:$S$500,0))&amp;"",""))</f>
        <v/>
      </c>
      <c r="D172" s="0" t="str">
        <f aca="false">IF($A172="","",IFERROR(INDEX(Equipment!$E$5:$E$500,MATCH($A172,Equipment!$S$5:$S$500,0))&amp;"",""))</f>
        <v/>
      </c>
      <c r="E172" s="0" t="str">
        <f aca="false">IF($A172="","",IFERROR(INDEX(Equipment!$F$5:$F$500,MATCH($A172,Equipment!$S$5:$S$500,0))&amp;"",""))</f>
        <v/>
      </c>
      <c r="F172" s="0" t="str">
        <f aca="false">IF($A172="","",IFERROR(INDEX(Equipment!$G$5:$G$500,MATCH($A172,Equipment!$S$5:$S$500,0))&amp;"",""))</f>
        <v/>
      </c>
      <c r="G172" s="0" t="str">
        <f aca="false">IF($A172="","",IFERROR(INDEX(Equipment!$H$5:$H$500,MATCH($A172,Equipment!$S$5:$S$500,0))&amp;"",""))</f>
        <v/>
      </c>
      <c r="H172" s="0" t="str">
        <f aca="false">IF($A172="","",IFERROR(INDEX(Equipment!$J$5:$J$500,MATCH($A172,Equipment!$S$5:$S$500,0))&amp;"",""))</f>
        <v/>
      </c>
      <c r="I172" s="0" t="str">
        <f aca="false">IF($A172="","",IFERROR(INDEX(Equipment!$K$5:$K$500,MATCH($A172,Equipment!$S$5:$S$500,0))&amp;"",""))</f>
        <v/>
      </c>
      <c r="J172" s="0" t="str">
        <f aca="false">IF($A172="","",IFERROR(INDEX(Equipment!$L$5:$L$500,MATCH($A172,Equipment!$S$5:$S$500,0))&amp;"",""))</f>
        <v/>
      </c>
      <c r="K172" s="0" t="str">
        <f aca="false">IF($A172="","",IFERROR(INDEX(Equipment!$Q$5:$Q$500,MATCH($A172,Equipment!$S$5:$S$500,0))&amp;"",""))</f>
        <v/>
      </c>
    </row>
    <row r="173" customFormat="false" ht="15" hidden="false" customHeight="false" outlineLevel="0" collapsed="false">
      <c r="A173" s="0" t="str">
        <f aca="false">IF(165&gt;$C$6,"",165)</f>
        <v/>
      </c>
      <c r="B173" s="0" t="str">
        <f aca="false">IF($A173="","",IFERROR(INDEX(Equipment!$A$5:$A$500,MATCH($A173,Equipment!$S$5:$S$500,0))&amp;"",""))</f>
        <v/>
      </c>
      <c r="C173" s="0" t="str">
        <f aca="false">IF($A173="","",IFERROR(INDEX(Equipment!$B$5:$B$500,MATCH($A173,Equipment!$S$5:$S$500,0))&amp;"",""))</f>
        <v/>
      </c>
      <c r="D173" s="0" t="str">
        <f aca="false">IF($A173="","",IFERROR(INDEX(Equipment!$E$5:$E$500,MATCH($A173,Equipment!$S$5:$S$500,0))&amp;"",""))</f>
        <v/>
      </c>
      <c r="E173" s="0" t="str">
        <f aca="false">IF($A173="","",IFERROR(INDEX(Equipment!$F$5:$F$500,MATCH($A173,Equipment!$S$5:$S$500,0))&amp;"",""))</f>
        <v/>
      </c>
      <c r="F173" s="0" t="str">
        <f aca="false">IF($A173="","",IFERROR(INDEX(Equipment!$G$5:$G$500,MATCH($A173,Equipment!$S$5:$S$500,0))&amp;"",""))</f>
        <v/>
      </c>
      <c r="G173" s="0" t="str">
        <f aca="false">IF($A173="","",IFERROR(INDEX(Equipment!$H$5:$H$500,MATCH($A173,Equipment!$S$5:$S$500,0))&amp;"",""))</f>
        <v/>
      </c>
      <c r="H173" s="0" t="str">
        <f aca="false">IF($A173="","",IFERROR(INDEX(Equipment!$J$5:$J$500,MATCH($A173,Equipment!$S$5:$S$500,0))&amp;"",""))</f>
        <v/>
      </c>
      <c r="I173" s="0" t="str">
        <f aca="false">IF($A173="","",IFERROR(INDEX(Equipment!$K$5:$K$500,MATCH($A173,Equipment!$S$5:$S$500,0))&amp;"",""))</f>
        <v/>
      </c>
      <c r="J173" s="0" t="str">
        <f aca="false">IF($A173="","",IFERROR(INDEX(Equipment!$L$5:$L$500,MATCH($A173,Equipment!$S$5:$S$500,0))&amp;"",""))</f>
        <v/>
      </c>
      <c r="K173" s="0" t="str">
        <f aca="false">IF($A173="","",IFERROR(INDEX(Equipment!$Q$5:$Q$500,MATCH($A173,Equipment!$S$5:$S$500,0))&amp;"",""))</f>
        <v/>
      </c>
    </row>
    <row r="174" customFormat="false" ht="15" hidden="false" customHeight="false" outlineLevel="0" collapsed="false">
      <c r="A174" s="0" t="str">
        <f aca="false">IF(166&gt;$C$6,"",166)</f>
        <v/>
      </c>
      <c r="B174" s="0" t="str">
        <f aca="false">IF($A174="","",IFERROR(INDEX(Equipment!$A$5:$A$500,MATCH($A174,Equipment!$S$5:$S$500,0))&amp;"",""))</f>
        <v/>
      </c>
      <c r="C174" s="0" t="str">
        <f aca="false">IF($A174="","",IFERROR(INDEX(Equipment!$B$5:$B$500,MATCH($A174,Equipment!$S$5:$S$500,0))&amp;"",""))</f>
        <v/>
      </c>
      <c r="D174" s="0" t="str">
        <f aca="false">IF($A174="","",IFERROR(INDEX(Equipment!$E$5:$E$500,MATCH($A174,Equipment!$S$5:$S$500,0))&amp;"",""))</f>
        <v/>
      </c>
      <c r="E174" s="0" t="str">
        <f aca="false">IF($A174="","",IFERROR(INDEX(Equipment!$F$5:$F$500,MATCH($A174,Equipment!$S$5:$S$500,0))&amp;"",""))</f>
        <v/>
      </c>
      <c r="F174" s="0" t="str">
        <f aca="false">IF($A174="","",IFERROR(INDEX(Equipment!$G$5:$G$500,MATCH($A174,Equipment!$S$5:$S$500,0))&amp;"",""))</f>
        <v/>
      </c>
      <c r="G174" s="0" t="str">
        <f aca="false">IF($A174="","",IFERROR(INDEX(Equipment!$H$5:$H$500,MATCH($A174,Equipment!$S$5:$S$500,0))&amp;"",""))</f>
        <v/>
      </c>
      <c r="H174" s="0" t="str">
        <f aca="false">IF($A174="","",IFERROR(INDEX(Equipment!$J$5:$J$500,MATCH($A174,Equipment!$S$5:$S$500,0))&amp;"",""))</f>
        <v/>
      </c>
      <c r="I174" s="0" t="str">
        <f aca="false">IF($A174="","",IFERROR(INDEX(Equipment!$K$5:$K$500,MATCH($A174,Equipment!$S$5:$S$500,0))&amp;"",""))</f>
        <v/>
      </c>
      <c r="J174" s="0" t="str">
        <f aca="false">IF($A174="","",IFERROR(INDEX(Equipment!$L$5:$L$500,MATCH($A174,Equipment!$S$5:$S$500,0))&amp;"",""))</f>
        <v/>
      </c>
      <c r="K174" s="0" t="str">
        <f aca="false">IF($A174="","",IFERROR(INDEX(Equipment!$Q$5:$Q$500,MATCH($A174,Equipment!$S$5:$S$500,0))&amp;"",""))</f>
        <v/>
      </c>
    </row>
    <row r="175" customFormat="false" ht="15" hidden="false" customHeight="false" outlineLevel="0" collapsed="false">
      <c r="A175" s="0" t="str">
        <f aca="false">IF(167&gt;$C$6,"",167)</f>
        <v/>
      </c>
      <c r="B175" s="0" t="str">
        <f aca="false">IF($A175="","",IFERROR(INDEX(Equipment!$A$5:$A$500,MATCH($A175,Equipment!$S$5:$S$500,0))&amp;"",""))</f>
        <v/>
      </c>
      <c r="C175" s="0" t="str">
        <f aca="false">IF($A175="","",IFERROR(INDEX(Equipment!$B$5:$B$500,MATCH($A175,Equipment!$S$5:$S$500,0))&amp;"",""))</f>
        <v/>
      </c>
      <c r="D175" s="0" t="str">
        <f aca="false">IF($A175="","",IFERROR(INDEX(Equipment!$E$5:$E$500,MATCH($A175,Equipment!$S$5:$S$500,0))&amp;"",""))</f>
        <v/>
      </c>
      <c r="E175" s="0" t="str">
        <f aca="false">IF($A175="","",IFERROR(INDEX(Equipment!$F$5:$F$500,MATCH($A175,Equipment!$S$5:$S$500,0))&amp;"",""))</f>
        <v/>
      </c>
      <c r="F175" s="0" t="str">
        <f aca="false">IF($A175="","",IFERROR(INDEX(Equipment!$G$5:$G$500,MATCH($A175,Equipment!$S$5:$S$500,0))&amp;"",""))</f>
        <v/>
      </c>
      <c r="G175" s="0" t="str">
        <f aca="false">IF($A175="","",IFERROR(INDEX(Equipment!$H$5:$H$500,MATCH($A175,Equipment!$S$5:$S$500,0))&amp;"",""))</f>
        <v/>
      </c>
      <c r="H175" s="0" t="str">
        <f aca="false">IF($A175="","",IFERROR(INDEX(Equipment!$J$5:$J$500,MATCH($A175,Equipment!$S$5:$S$500,0))&amp;"",""))</f>
        <v/>
      </c>
      <c r="I175" s="0" t="str">
        <f aca="false">IF($A175="","",IFERROR(INDEX(Equipment!$K$5:$K$500,MATCH($A175,Equipment!$S$5:$S$500,0))&amp;"",""))</f>
        <v/>
      </c>
      <c r="J175" s="0" t="str">
        <f aca="false">IF($A175="","",IFERROR(INDEX(Equipment!$L$5:$L$500,MATCH($A175,Equipment!$S$5:$S$500,0))&amp;"",""))</f>
        <v/>
      </c>
      <c r="K175" s="0" t="str">
        <f aca="false">IF($A175="","",IFERROR(INDEX(Equipment!$Q$5:$Q$500,MATCH($A175,Equipment!$S$5:$S$500,0))&amp;"",""))</f>
        <v/>
      </c>
    </row>
    <row r="176" customFormat="false" ht="15" hidden="false" customHeight="false" outlineLevel="0" collapsed="false">
      <c r="A176" s="0" t="str">
        <f aca="false">IF(168&gt;$C$6,"",168)</f>
        <v/>
      </c>
      <c r="B176" s="0" t="str">
        <f aca="false">IF($A176="","",IFERROR(INDEX(Equipment!$A$5:$A$500,MATCH($A176,Equipment!$S$5:$S$500,0))&amp;"",""))</f>
        <v/>
      </c>
      <c r="C176" s="0" t="str">
        <f aca="false">IF($A176="","",IFERROR(INDEX(Equipment!$B$5:$B$500,MATCH($A176,Equipment!$S$5:$S$500,0))&amp;"",""))</f>
        <v/>
      </c>
      <c r="D176" s="0" t="str">
        <f aca="false">IF($A176="","",IFERROR(INDEX(Equipment!$E$5:$E$500,MATCH($A176,Equipment!$S$5:$S$500,0))&amp;"",""))</f>
        <v/>
      </c>
      <c r="E176" s="0" t="str">
        <f aca="false">IF($A176="","",IFERROR(INDEX(Equipment!$F$5:$F$500,MATCH($A176,Equipment!$S$5:$S$500,0))&amp;"",""))</f>
        <v/>
      </c>
      <c r="F176" s="0" t="str">
        <f aca="false">IF($A176="","",IFERROR(INDEX(Equipment!$G$5:$G$500,MATCH($A176,Equipment!$S$5:$S$500,0))&amp;"",""))</f>
        <v/>
      </c>
      <c r="G176" s="0" t="str">
        <f aca="false">IF($A176="","",IFERROR(INDEX(Equipment!$H$5:$H$500,MATCH($A176,Equipment!$S$5:$S$500,0))&amp;"",""))</f>
        <v/>
      </c>
      <c r="H176" s="0" t="str">
        <f aca="false">IF($A176="","",IFERROR(INDEX(Equipment!$J$5:$J$500,MATCH($A176,Equipment!$S$5:$S$500,0))&amp;"",""))</f>
        <v/>
      </c>
      <c r="I176" s="0" t="str">
        <f aca="false">IF($A176="","",IFERROR(INDEX(Equipment!$K$5:$K$500,MATCH($A176,Equipment!$S$5:$S$500,0))&amp;"",""))</f>
        <v/>
      </c>
      <c r="J176" s="0" t="str">
        <f aca="false">IF($A176="","",IFERROR(INDEX(Equipment!$L$5:$L$500,MATCH($A176,Equipment!$S$5:$S$500,0))&amp;"",""))</f>
        <v/>
      </c>
      <c r="K176" s="0" t="str">
        <f aca="false">IF($A176="","",IFERROR(INDEX(Equipment!$Q$5:$Q$500,MATCH($A176,Equipment!$S$5:$S$500,0))&amp;"",""))</f>
        <v/>
      </c>
    </row>
    <row r="177" customFormat="false" ht="15" hidden="false" customHeight="false" outlineLevel="0" collapsed="false">
      <c r="A177" s="0" t="str">
        <f aca="false">IF(169&gt;$C$6,"",169)</f>
        <v/>
      </c>
      <c r="B177" s="0" t="str">
        <f aca="false">IF($A177="","",IFERROR(INDEX(Equipment!$A$5:$A$500,MATCH($A177,Equipment!$S$5:$S$500,0))&amp;"",""))</f>
        <v/>
      </c>
      <c r="C177" s="0" t="str">
        <f aca="false">IF($A177="","",IFERROR(INDEX(Equipment!$B$5:$B$500,MATCH($A177,Equipment!$S$5:$S$500,0))&amp;"",""))</f>
        <v/>
      </c>
      <c r="D177" s="0" t="str">
        <f aca="false">IF($A177="","",IFERROR(INDEX(Equipment!$E$5:$E$500,MATCH($A177,Equipment!$S$5:$S$500,0))&amp;"",""))</f>
        <v/>
      </c>
      <c r="E177" s="0" t="str">
        <f aca="false">IF($A177="","",IFERROR(INDEX(Equipment!$F$5:$F$500,MATCH($A177,Equipment!$S$5:$S$500,0))&amp;"",""))</f>
        <v/>
      </c>
      <c r="F177" s="0" t="str">
        <f aca="false">IF($A177="","",IFERROR(INDEX(Equipment!$G$5:$G$500,MATCH($A177,Equipment!$S$5:$S$500,0))&amp;"",""))</f>
        <v/>
      </c>
      <c r="G177" s="0" t="str">
        <f aca="false">IF($A177="","",IFERROR(INDEX(Equipment!$H$5:$H$500,MATCH($A177,Equipment!$S$5:$S$500,0))&amp;"",""))</f>
        <v/>
      </c>
      <c r="H177" s="0" t="str">
        <f aca="false">IF($A177="","",IFERROR(INDEX(Equipment!$J$5:$J$500,MATCH($A177,Equipment!$S$5:$S$500,0))&amp;"",""))</f>
        <v/>
      </c>
      <c r="I177" s="0" t="str">
        <f aca="false">IF($A177="","",IFERROR(INDEX(Equipment!$K$5:$K$500,MATCH($A177,Equipment!$S$5:$S$500,0))&amp;"",""))</f>
        <v/>
      </c>
      <c r="J177" s="0" t="str">
        <f aca="false">IF($A177="","",IFERROR(INDEX(Equipment!$L$5:$L$500,MATCH($A177,Equipment!$S$5:$S$500,0))&amp;"",""))</f>
        <v/>
      </c>
      <c r="K177" s="0" t="str">
        <f aca="false">IF($A177="","",IFERROR(INDEX(Equipment!$Q$5:$Q$500,MATCH($A177,Equipment!$S$5:$S$500,0))&amp;"",""))</f>
        <v/>
      </c>
    </row>
    <row r="178" customFormat="false" ht="15" hidden="false" customHeight="false" outlineLevel="0" collapsed="false">
      <c r="A178" s="0" t="str">
        <f aca="false">IF(170&gt;$C$6,"",170)</f>
        <v/>
      </c>
      <c r="B178" s="0" t="str">
        <f aca="false">IF($A178="","",IFERROR(INDEX(Equipment!$A$5:$A$500,MATCH($A178,Equipment!$S$5:$S$500,0))&amp;"",""))</f>
        <v/>
      </c>
      <c r="C178" s="0" t="str">
        <f aca="false">IF($A178="","",IFERROR(INDEX(Equipment!$B$5:$B$500,MATCH($A178,Equipment!$S$5:$S$500,0))&amp;"",""))</f>
        <v/>
      </c>
      <c r="D178" s="0" t="str">
        <f aca="false">IF($A178="","",IFERROR(INDEX(Equipment!$E$5:$E$500,MATCH($A178,Equipment!$S$5:$S$500,0))&amp;"",""))</f>
        <v/>
      </c>
      <c r="E178" s="0" t="str">
        <f aca="false">IF($A178="","",IFERROR(INDEX(Equipment!$F$5:$F$500,MATCH($A178,Equipment!$S$5:$S$500,0))&amp;"",""))</f>
        <v/>
      </c>
      <c r="F178" s="0" t="str">
        <f aca="false">IF($A178="","",IFERROR(INDEX(Equipment!$G$5:$G$500,MATCH($A178,Equipment!$S$5:$S$500,0))&amp;"",""))</f>
        <v/>
      </c>
      <c r="G178" s="0" t="str">
        <f aca="false">IF($A178="","",IFERROR(INDEX(Equipment!$H$5:$H$500,MATCH($A178,Equipment!$S$5:$S$500,0))&amp;"",""))</f>
        <v/>
      </c>
      <c r="H178" s="0" t="str">
        <f aca="false">IF($A178="","",IFERROR(INDEX(Equipment!$J$5:$J$500,MATCH($A178,Equipment!$S$5:$S$500,0))&amp;"",""))</f>
        <v/>
      </c>
      <c r="I178" s="0" t="str">
        <f aca="false">IF($A178="","",IFERROR(INDEX(Equipment!$K$5:$K$500,MATCH($A178,Equipment!$S$5:$S$500,0))&amp;"",""))</f>
        <v/>
      </c>
      <c r="J178" s="0" t="str">
        <f aca="false">IF($A178="","",IFERROR(INDEX(Equipment!$L$5:$L$500,MATCH($A178,Equipment!$S$5:$S$500,0))&amp;"",""))</f>
        <v/>
      </c>
      <c r="K178" s="0" t="str">
        <f aca="false">IF($A178="","",IFERROR(INDEX(Equipment!$Q$5:$Q$500,MATCH($A178,Equipment!$S$5:$S$500,0))&amp;"",""))</f>
        <v/>
      </c>
    </row>
    <row r="179" customFormat="false" ht="15" hidden="false" customHeight="false" outlineLevel="0" collapsed="false">
      <c r="A179" s="0" t="str">
        <f aca="false">IF(171&gt;$C$6,"",171)</f>
        <v/>
      </c>
      <c r="B179" s="0" t="str">
        <f aca="false">IF($A179="","",IFERROR(INDEX(Equipment!$A$5:$A$500,MATCH($A179,Equipment!$S$5:$S$500,0))&amp;"",""))</f>
        <v/>
      </c>
      <c r="C179" s="0" t="str">
        <f aca="false">IF($A179="","",IFERROR(INDEX(Equipment!$B$5:$B$500,MATCH($A179,Equipment!$S$5:$S$500,0))&amp;"",""))</f>
        <v/>
      </c>
      <c r="D179" s="0" t="str">
        <f aca="false">IF($A179="","",IFERROR(INDEX(Equipment!$E$5:$E$500,MATCH($A179,Equipment!$S$5:$S$500,0))&amp;"",""))</f>
        <v/>
      </c>
      <c r="E179" s="0" t="str">
        <f aca="false">IF($A179="","",IFERROR(INDEX(Equipment!$F$5:$F$500,MATCH($A179,Equipment!$S$5:$S$500,0))&amp;"",""))</f>
        <v/>
      </c>
      <c r="F179" s="0" t="str">
        <f aca="false">IF($A179="","",IFERROR(INDEX(Equipment!$G$5:$G$500,MATCH($A179,Equipment!$S$5:$S$500,0))&amp;"",""))</f>
        <v/>
      </c>
      <c r="G179" s="0" t="str">
        <f aca="false">IF($A179="","",IFERROR(INDEX(Equipment!$H$5:$H$500,MATCH($A179,Equipment!$S$5:$S$500,0))&amp;"",""))</f>
        <v/>
      </c>
      <c r="H179" s="0" t="str">
        <f aca="false">IF($A179="","",IFERROR(INDEX(Equipment!$J$5:$J$500,MATCH($A179,Equipment!$S$5:$S$500,0))&amp;"",""))</f>
        <v/>
      </c>
      <c r="I179" s="0" t="str">
        <f aca="false">IF($A179="","",IFERROR(INDEX(Equipment!$K$5:$K$500,MATCH($A179,Equipment!$S$5:$S$500,0))&amp;"",""))</f>
        <v/>
      </c>
      <c r="J179" s="0" t="str">
        <f aca="false">IF($A179="","",IFERROR(INDEX(Equipment!$L$5:$L$500,MATCH($A179,Equipment!$S$5:$S$500,0))&amp;"",""))</f>
        <v/>
      </c>
      <c r="K179" s="0" t="str">
        <f aca="false">IF($A179="","",IFERROR(INDEX(Equipment!$Q$5:$Q$500,MATCH($A179,Equipment!$S$5:$S$500,0))&amp;"",""))</f>
        <v/>
      </c>
    </row>
    <row r="180" customFormat="false" ht="15" hidden="false" customHeight="false" outlineLevel="0" collapsed="false">
      <c r="A180" s="0" t="str">
        <f aca="false">IF(172&gt;$C$6,"",172)</f>
        <v/>
      </c>
      <c r="B180" s="0" t="str">
        <f aca="false">IF($A180="","",IFERROR(INDEX(Equipment!$A$5:$A$500,MATCH($A180,Equipment!$S$5:$S$500,0))&amp;"",""))</f>
        <v/>
      </c>
      <c r="C180" s="0" t="str">
        <f aca="false">IF($A180="","",IFERROR(INDEX(Equipment!$B$5:$B$500,MATCH($A180,Equipment!$S$5:$S$500,0))&amp;"",""))</f>
        <v/>
      </c>
      <c r="D180" s="0" t="str">
        <f aca="false">IF($A180="","",IFERROR(INDEX(Equipment!$E$5:$E$500,MATCH($A180,Equipment!$S$5:$S$500,0))&amp;"",""))</f>
        <v/>
      </c>
      <c r="E180" s="0" t="str">
        <f aca="false">IF($A180="","",IFERROR(INDEX(Equipment!$F$5:$F$500,MATCH($A180,Equipment!$S$5:$S$500,0))&amp;"",""))</f>
        <v/>
      </c>
      <c r="F180" s="0" t="str">
        <f aca="false">IF($A180="","",IFERROR(INDEX(Equipment!$G$5:$G$500,MATCH($A180,Equipment!$S$5:$S$500,0))&amp;"",""))</f>
        <v/>
      </c>
      <c r="G180" s="0" t="str">
        <f aca="false">IF($A180="","",IFERROR(INDEX(Equipment!$H$5:$H$500,MATCH($A180,Equipment!$S$5:$S$500,0))&amp;"",""))</f>
        <v/>
      </c>
      <c r="H180" s="0" t="str">
        <f aca="false">IF($A180="","",IFERROR(INDEX(Equipment!$J$5:$J$500,MATCH($A180,Equipment!$S$5:$S$500,0))&amp;"",""))</f>
        <v/>
      </c>
      <c r="I180" s="0" t="str">
        <f aca="false">IF($A180="","",IFERROR(INDEX(Equipment!$K$5:$K$500,MATCH($A180,Equipment!$S$5:$S$500,0))&amp;"",""))</f>
        <v/>
      </c>
      <c r="J180" s="0" t="str">
        <f aca="false">IF($A180="","",IFERROR(INDEX(Equipment!$L$5:$L$500,MATCH($A180,Equipment!$S$5:$S$500,0))&amp;"",""))</f>
        <v/>
      </c>
      <c r="K180" s="0" t="str">
        <f aca="false">IF($A180="","",IFERROR(INDEX(Equipment!$Q$5:$Q$500,MATCH($A180,Equipment!$S$5:$S$500,0))&amp;"",""))</f>
        <v/>
      </c>
    </row>
    <row r="181" customFormat="false" ht="15" hidden="false" customHeight="false" outlineLevel="0" collapsed="false">
      <c r="A181" s="0" t="str">
        <f aca="false">IF(173&gt;$C$6,"",173)</f>
        <v/>
      </c>
      <c r="B181" s="0" t="str">
        <f aca="false">IF($A181="","",IFERROR(INDEX(Equipment!$A$5:$A$500,MATCH($A181,Equipment!$S$5:$S$500,0))&amp;"",""))</f>
        <v/>
      </c>
      <c r="C181" s="0" t="str">
        <f aca="false">IF($A181="","",IFERROR(INDEX(Equipment!$B$5:$B$500,MATCH($A181,Equipment!$S$5:$S$500,0))&amp;"",""))</f>
        <v/>
      </c>
      <c r="D181" s="0" t="str">
        <f aca="false">IF($A181="","",IFERROR(INDEX(Equipment!$E$5:$E$500,MATCH($A181,Equipment!$S$5:$S$500,0))&amp;"",""))</f>
        <v/>
      </c>
      <c r="E181" s="0" t="str">
        <f aca="false">IF($A181="","",IFERROR(INDEX(Equipment!$F$5:$F$500,MATCH($A181,Equipment!$S$5:$S$500,0))&amp;"",""))</f>
        <v/>
      </c>
      <c r="F181" s="0" t="str">
        <f aca="false">IF($A181="","",IFERROR(INDEX(Equipment!$G$5:$G$500,MATCH($A181,Equipment!$S$5:$S$500,0))&amp;"",""))</f>
        <v/>
      </c>
      <c r="G181" s="0" t="str">
        <f aca="false">IF($A181="","",IFERROR(INDEX(Equipment!$H$5:$H$500,MATCH($A181,Equipment!$S$5:$S$500,0))&amp;"",""))</f>
        <v/>
      </c>
      <c r="H181" s="0" t="str">
        <f aca="false">IF($A181="","",IFERROR(INDEX(Equipment!$J$5:$J$500,MATCH($A181,Equipment!$S$5:$S$500,0))&amp;"",""))</f>
        <v/>
      </c>
      <c r="I181" s="0" t="str">
        <f aca="false">IF($A181="","",IFERROR(INDEX(Equipment!$K$5:$K$500,MATCH($A181,Equipment!$S$5:$S$500,0))&amp;"",""))</f>
        <v/>
      </c>
      <c r="J181" s="0" t="str">
        <f aca="false">IF($A181="","",IFERROR(INDEX(Equipment!$L$5:$L$500,MATCH($A181,Equipment!$S$5:$S$500,0))&amp;"",""))</f>
        <v/>
      </c>
      <c r="K181" s="0" t="str">
        <f aca="false">IF($A181="","",IFERROR(INDEX(Equipment!$Q$5:$Q$500,MATCH($A181,Equipment!$S$5:$S$500,0))&amp;"",""))</f>
        <v/>
      </c>
    </row>
    <row r="182" customFormat="false" ht="15" hidden="false" customHeight="false" outlineLevel="0" collapsed="false">
      <c r="A182" s="0" t="str">
        <f aca="false">IF(174&gt;$C$6,"",174)</f>
        <v/>
      </c>
      <c r="B182" s="0" t="str">
        <f aca="false">IF($A182="","",IFERROR(INDEX(Equipment!$A$5:$A$500,MATCH($A182,Equipment!$S$5:$S$500,0))&amp;"",""))</f>
        <v/>
      </c>
      <c r="C182" s="0" t="str">
        <f aca="false">IF($A182="","",IFERROR(INDEX(Equipment!$B$5:$B$500,MATCH($A182,Equipment!$S$5:$S$500,0))&amp;"",""))</f>
        <v/>
      </c>
      <c r="D182" s="0" t="str">
        <f aca="false">IF($A182="","",IFERROR(INDEX(Equipment!$E$5:$E$500,MATCH($A182,Equipment!$S$5:$S$500,0))&amp;"",""))</f>
        <v/>
      </c>
      <c r="E182" s="0" t="str">
        <f aca="false">IF($A182="","",IFERROR(INDEX(Equipment!$F$5:$F$500,MATCH($A182,Equipment!$S$5:$S$500,0))&amp;"",""))</f>
        <v/>
      </c>
      <c r="F182" s="0" t="str">
        <f aca="false">IF($A182="","",IFERROR(INDEX(Equipment!$G$5:$G$500,MATCH($A182,Equipment!$S$5:$S$500,0))&amp;"",""))</f>
        <v/>
      </c>
      <c r="G182" s="0" t="str">
        <f aca="false">IF($A182="","",IFERROR(INDEX(Equipment!$H$5:$H$500,MATCH($A182,Equipment!$S$5:$S$500,0))&amp;"",""))</f>
        <v/>
      </c>
      <c r="H182" s="0" t="str">
        <f aca="false">IF($A182="","",IFERROR(INDEX(Equipment!$J$5:$J$500,MATCH($A182,Equipment!$S$5:$S$500,0))&amp;"",""))</f>
        <v/>
      </c>
      <c r="I182" s="0" t="str">
        <f aca="false">IF($A182="","",IFERROR(INDEX(Equipment!$K$5:$K$500,MATCH($A182,Equipment!$S$5:$S$500,0))&amp;"",""))</f>
        <v/>
      </c>
      <c r="J182" s="0" t="str">
        <f aca="false">IF($A182="","",IFERROR(INDEX(Equipment!$L$5:$L$500,MATCH($A182,Equipment!$S$5:$S$500,0))&amp;"",""))</f>
        <v/>
      </c>
      <c r="K182" s="0" t="str">
        <f aca="false">IF($A182="","",IFERROR(INDEX(Equipment!$Q$5:$Q$500,MATCH($A182,Equipment!$S$5:$S$500,0))&amp;"",""))</f>
        <v/>
      </c>
    </row>
    <row r="183" customFormat="false" ht="15" hidden="false" customHeight="false" outlineLevel="0" collapsed="false">
      <c r="A183" s="0" t="str">
        <f aca="false">IF(175&gt;$C$6,"",175)</f>
        <v/>
      </c>
      <c r="B183" s="0" t="str">
        <f aca="false">IF($A183="","",IFERROR(INDEX(Equipment!$A$5:$A$500,MATCH($A183,Equipment!$S$5:$S$500,0))&amp;"",""))</f>
        <v/>
      </c>
      <c r="C183" s="0" t="str">
        <f aca="false">IF($A183="","",IFERROR(INDEX(Equipment!$B$5:$B$500,MATCH($A183,Equipment!$S$5:$S$500,0))&amp;"",""))</f>
        <v/>
      </c>
      <c r="D183" s="0" t="str">
        <f aca="false">IF($A183="","",IFERROR(INDEX(Equipment!$E$5:$E$500,MATCH($A183,Equipment!$S$5:$S$500,0))&amp;"",""))</f>
        <v/>
      </c>
      <c r="E183" s="0" t="str">
        <f aca="false">IF($A183="","",IFERROR(INDEX(Equipment!$F$5:$F$500,MATCH($A183,Equipment!$S$5:$S$500,0))&amp;"",""))</f>
        <v/>
      </c>
      <c r="F183" s="0" t="str">
        <f aca="false">IF($A183="","",IFERROR(INDEX(Equipment!$G$5:$G$500,MATCH($A183,Equipment!$S$5:$S$500,0))&amp;"",""))</f>
        <v/>
      </c>
      <c r="G183" s="0" t="str">
        <f aca="false">IF($A183="","",IFERROR(INDEX(Equipment!$H$5:$H$500,MATCH($A183,Equipment!$S$5:$S$500,0))&amp;"",""))</f>
        <v/>
      </c>
      <c r="H183" s="0" t="str">
        <f aca="false">IF($A183="","",IFERROR(INDEX(Equipment!$J$5:$J$500,MATCH($A183,Equipment!$S$5:$S$500,0))&amp;"",""))</f>
        <v/>
      </c>
      <c r="I183" s="0" t="str">
        <f aca="false">IF($A183="","",IFERROR(INDEX(Equipment!$K$5:$K$500,MATCH($A183,Equipment!$S$5:$S$500,0))&amp;"",""))</f>
        <v/>
      </c>
      <c r="J183" s="0" t="str">
        <f aca="false">IF($A183="","",IFERROR(INDEX(Equipment!$L$5:$L$500,MATCH($A183,Equipment!$S$5:$S$500,0))&amp;"",""))</f>
        <v/>
      </c>
      <c r="K183" s="0" t="str">
        <f aca="false">IF($A183="","",IFERROR(INDEX(Equipment!$Q$5:$Q$500,MATCH($A183,Equipment!$S$5:$S$500,0))&amp;"",""))</f>
        <v/>
      </c>
    </row>
    <row r="184" customFormat="false" ht="15" hidden="false" customHeight="false" outlineLevel="0" collapsed="false">
      <c r="A184" s="0" t="str">
        <f aca="false">IF(176&gt;$C$6,"",176)</f>
        <v/>
      </c>
      <c r="B184" s="0" t="str">
        <f aca="false">IF($A184="","",IFERROR(INDEX(Equipment!$A$5:$A$500,MATCH($A184,Equipment!$S$5:$S$500,0))&amp;"",""))</f>
        <v/>
      </c>
      <c r="C184" s="0" t="str">
        <f aca="false">IF($A184="","",IFERROR(INDEX(Equipment!$B$5:$B$500,MATCH($A184,Equipment!$S$5:$S$500,0))&amp;"",""))</f>
        <v/>
      </c>
      <c r="D184" s="0" t="str">
        <f aca="false">IF($A184="","",IFERROR(INDEX(Equipment!$E$5:$E$500,MATCH($A184,Equipment!$S$5:$S$500,0))&amp;"",""))</f>
        <v/>
      </c>
      <c r="E184" s="0" t="str">
        <f aca="false">IF($A184="","",IFERROR(INDEX(Equipment!$F$5:$F$500,MATCH($A184,Equipment!$S$5:$S$500,0))&amp;"",""))</f>
        <v/>
      </c>
      <c r="F184" s="0" t="str">
        <f aca="false">IF($A184="","",IFERROR(INDEX(Equipment!$G$5:$G$500,MATCH($A184,Equipment!$S$5:$S$500,0))&amp;"",""))</f>
        <v/>
      </c>
      <c r="G184" s="0" t="str">
        <f aca="false">IF($A184="","",IFERROR(INDEX(Equipment!$H$5:$H$500,MATCH($A184,Equipment!$S$5:$S$500,0))&amp;"",""))</f>
        <v/>
      </c>
      <c r="H184" s="0" t="str">
        <f aca="false">IF($A184="","",IFERROR(INDEX(Equipment!$J$5:$J$500,MATCH($A184,Equipment!$S$5:$S$500,0))&amp;"",""))</f>
        <v/>
      </c>
      <c r="I184" s="0" t="str">
        <f aca="false">IF($A184="","",IFERROR(INDEX(Equipment!$K$5:$K$500,MATCH($A184,Equipment!$S$5:$S$500,0))&amp;"",""))</f>
        <v/>
      </c>
      <c r="J184" s="0" t="str">
        <f aca="false">IF($A184="","",IFERROR(INDEX(Equipment!$L$5:$L$500,MATCH($A184,Equipment!$S$5:$S$500,0))&amp;"",""))</f>
        <v/>
      </c>
      <c r="K184" s="0" t="str">
        <f aca="false">IF($A184="","",IFERROR(INDEX(Equipment!$Q$5:$Q$500,MATCH($A184,Equipment!$S$5:$S$500,0))&amp;"",""))</f>
        <v/>
      </c>
    </row>
    <row r="185" customFormat="false" ht="15" hidden="false" customHeight="false" outlineLevel="0" collapsed="false">
      <c r="A185" s="0" t="str">
        <f aca="false">IF(177&gt;$C$6,"",177)</f>
        <v/>
      </c>
      <c r="B185" s="0" t="str">
        <f aca="false">IF($A185="","",IFERROR(INDEX(Equipment!$A$5:$A$500,MATCH($A185,Equipment!$S$5:$S$500,0))&amp;"",""))</f>
        <v/>
      </c>
      <c r="C185" s="0" t="str">
        <f aca="false">IF($A185="","",IFERROR(INDEX(Equipment!$B$5:$B$500,MATCH($A185,Equipment!$S$5:$S$500,0))&amp;"",""))</f>
        <v/>
      </c>
      <c r="D185" s="0" t="str">
        <f aca="false">IF($A185="","",IFERROR(INDEX(Equipment!$E$5:$E$500,MATCH($A185,Equipment!$S$5:$S$500,0))&amp;"",""))</f>
        <v/>
      </c>
      <c r="E185" s="0" t="str">
        <f aca="false">IF($A185="","",IFERROR(INDEX(Equipment!$F$5:$F$500,MATCH($A185,Equipment!$S$5:$S$500,0))&amp;"",""))</f>
        <v/>
      </c>
      <c r="F185" s="0" t="str">
        <f aca="false">IF($A185="","",IFERROR(INDEX(Equipment!$G$5:$G$500,MATCH($A185,Equipment!$S$5:$S$500,0))&amp;"",""))</f>
        <v/>
      </c>
      <c r="G185" s="0" t="str">
        <f aca="false">IF($A185="","",IFERROR(INDEX(Equipment!$H$5:$H$500,MATCH($A185,Equipment!$S$5:$S$500,0))&amp;"",""))</f>
        <v/>
      </c>
      <c r="H185" s="0" t="str">
        <f aca="false">IF($A185="","",IFERROR(INDEX(Equipment!$J$5:$J$500,MATCH($A185,Equipment!$S$5:$S$500,0))&amp;"",""))</f>
        <v/>
      </c>
      <c r="I185" s="0" t="str">
        <f aca="false">IF($A185="","",IFERROR(INDEX(Equipment!$K$5:$K$500,MATCH($A185,Equipment!$S$5:$S$500,0))&amp;"",""))</f>
        <v/>
      </c>
      <c r="J185" s="0" t="str">
        <f aca="false">IF($A185="","",IFERROR(INDEX(Equipment!$L$5:$L$500,MATCH($A185,Equipment!$S$5:$S$500,0))&amp;"",""))</f>
        <v/>
      </c>
      <c r="K185" s="0" t="str">
        <f aca="false">IF($A185="","",IFERROR(INDEX(Equipment!$Q$5:$Q$500,MATCH($A185,Equipment!$S$5:$S$500,0))&amp;"",""))</f>
        <v/>
      </c>
    </row>
    <row r="186" customFormat="false" ht="15" hidden="false" customHeight="false" outlineLevel="0" collapsed="false">
      <c r="A186" s="0" t="str">
        <f aca="false">IF(178&gt;$C$6,"",178)</f>
        <v/>
      </c>
      <c r="B186" s="0" t="str">
        <f aca="false">IF($A186="","",IFERROR(INDEX(Equipment!$A$5:$A$500,MATCH($A186,Equipment!$S$5:$S$500,0))&amp;"",""))</f>
        <v/>
      </c>
      <c r="C186" s="0" t="str">
        <f aca="false">IF($A186="","",IFERROR(INDEX(Equipment!$B$5:$B$500,MATCH($A186,Equipment!$S$5:$S$500,0))&amp;"",""))</f>
        <v/>
      </c>
      <c r="D186" s="0" t="str">
        <f aca="false">IF($A186="","",IFERROR(INDEX(Equipment!$E$5:$E$500,MATCH($A186,Equipment!$S$5:$S$500,0))&amp;"",""))</f>
        <v/>
      </c>
      <c r="E186" s="0" t="str">
        <f aca="false">IF($A186="","",IFERROR(INDEX(Equipment!$F$5:$F$500,MATCH($A186,Equipment!$S$5:$S$500,0))&amp;"",""))</f>
        <v/>
      </c>
      <c r="F186" s="0" t="str">
        <f aca="false">IF($A186="","",IFERROR(INDEX(Equipment!$G$5:$G$500,MATCH($A186,Equipment!$S$5:$S$500,0))&amp;"",""))</f>
        <v/>
      </c>
      <c r="G186" s="0" t="str">
        <f aca="false">IF($A186="","",IFERROR(INDEX(Equipment!$H$5:$H$500,MATCH($A186,Equipment!$S$5:$S$500,0))&amp;"",""))</f>
        <v/>
      </c>
      <c r="H186" s="0" t="str">
        <f aca="false">IF($A186="","",IFERROR(INDEX(Equipment!$J$5:$J$500,MATCH($A186,Equipment!$S$5:$S$500,0))&amp;"",""))</f>
        <v/>
      </c>
      <c r="I186" s="0" t="str">
        <f aca="false">IF($A186="","",IFERROR(INDEX(Equipment!$K$5:$K$500,MATCH($A186,Equipment!$S$5:$S$500,0))&amp;"",""))</f>
        <v/>
      </c>
      <c r="J186" s="0" t="str">
        <f aca="false">IF($A186="","",IFERROR(INDEX(Equipment!$L$5:$L$500,MATCH($A186,Equipment!$S$5:$S$500,0))&amp;"",""))</f>
        <v/>
      </c>
      <c r="K186" s="0" t="str">
        <f aca="false">IF($A186="","",IFERROR(INDEX(Equipment!$Q$5:$Q$500,MATCH($A186,Equipment!$S$5:$S$500,0))&amp;"",""))</f>
        <v/>
      </c>
    </row>
    <row r="187" customFormat="false" ht="15" hidden="false" customHeight="false" outlineLevel="0" collapsed="false">
      <c r="A187" s="0" t="str">
        <f aca="false">IF(179&gt;$C$6,"",179)</f>
        <v/>
      </c>
      <c r="B187" s="0" t="str">
        <f aca="false">IF($A187="","",IFERROR(INDEX(Equipment!$A$5:$A$500,MATCH($A187,Equipment!$S$5:$S$500,0))&amp;"",""))</f>
        <v/>
      </c>
      <c r="C187" s="0" t="str">
        <f aca="false">IF($A187="","",IFERROR(INDEX(Equipment!$B$5:$B$500,MATCH($A187,Equipment!$S$5:$S$500,0))&amp;"",""))</f>
        <v/>
      </c>
      <c r="D187" s="0" t="str">
        <f aca="false">IF($A187="","",IFERROR(INDEX(Equipment!$E$5:$E$500,MATCH($A187,Equipment!$S$5:$S$500,0))&amp;"",""))</f>
        <v/>
      </c>
      <c r="E187" s="0" t="str">
        <f aca="false">IF($A187="","",IFERROR(INDEX(Equipment!$F$5:$F$500,MATCH($A187,Equipment!$S$5:$S$500,0))&amp;"",""))</f>
        <v/>
      </c>
      <c r="F187" s="0" t="str">
        <f aca="false">IF($A187="","",IFERROR(INDEX(Equipment!$G$5:$G$500,MATCH($A187,Equipment!$S$5:$S$500,0))&amp;"",""))</f>
        <v/>
      </c>
      <c r="G187" s="0" t="str">
        <f aca="false">IF($A187="","",IFERROR(INDEX(Equipment!$H$5:$H$500,MATCH($A187,Equipment!$S$5:$S$500,0))&amp;"",""))</f>
        <v/>
      </c>
      <c r="H187" s="0" t="str">
        <f aca="false">IF($A187="","",IFERROR(INDEX(Equipment!$J$5:$J$500,MATCH($A187,Equipment!$S$5:$S$500,0))&amp;"",""))</f>
        <v/>
      </c>
      <c r="I187" s="0" t="str">
        <f aca="false">IF($A187="","",IFERROR(INDEX(Equipment!$K$5:$K$500,MATCH($A187,Equipment!$S$5:$S$500,0))&amp;"",""))</f>
        <v/>
      </c>
      <c r="J187" s="0" t="str">
        <f aca="false">IF($A187="","",IFERROR(INDEX(Equipment!$L$5:$L$500,MATCH($A187,Equipment!$S$5:$S$500,0))&amp;"",""))</f>
        <v/>
      </c>
      <c r="K187" s="0" t="str">
        <f aca="false">IF($A187="","",IFERROR(INDEX(Equipment!$Q$5:$Q$500,MATCH($A187,Equipment!$S$5:$S$500,0))&amp;"",""))</f>
        <v/>
      </c>
    </row>
    <row r="188" customFormat="false" ht="15" hidden="false" customHeight="false" outlineLevel="0" collapsed="false">
      <c r="A188" s="0" t="str">
        <f aca="false">IF(180&gt;$C$6,"",180)</f>
        <v/>
      </c>
      <c r="B188" s="0" t="str">
        <f aca="false">IF($A188="","",IFERROR(INDEX(Equipment!$A$5:$A$500,MATCH($A188,Equipment!$S$5:$S$500,0))&amp;"",""))</f>
        <v/>
      </c>
      <c r="C188" s="0" t="str">
        <f aca="false">IF($A188="","",IFERROR(INDEX(Equipment!$B$5:$B$500,MATCH($A188,Equipment!$S$5:$S$500,0))&amp;"",""))</f>
        <v/>
      </c>
      <c r="D188" s="0" t="str">
        <f aca="false">IF($A188="","",IFERROR(INDEX(Equipment!$E$5:$E$500,MATCH($A188,Equipment!$S$5:$S$500,0))&amp;"",""))</f>
        <v/>
      </c>
      <c r="E188" s="0" t="str">
        <f aca="false">IF($A188="","",IFERROR(INDEX(Equipment!$F$5:$F$500,MATCH($A188,Equipment!$S$5:$S$500,0))&amp;"",""))</f>
        <v/>
      </c>
      <c r="F188" s="0" t="str">
        <f aca="false">IF($A188="","",IFERROR(INDEX(Equipment!$G$5:$G$500,MATCH($A188,Equipment!$S$5:$S$500,0))&amp;"",""))</f>
        <v/>
      </c>
      <c r="G188" s="0" t="str">
        <f aca="false">IF($A188="","",IFERROR(INDEX(Equipment!$H$5:$H$500,MATCH($A188,Equipment!$S$5:$S$500,0))&amp;"",""))</f>
        <v/>
      </c>
      <c r="H188" s="0" t="str">
        <f aca="false">IF($A188="","",IFERROR(INDEX(Equipment!$J$5:$J$500,MATCH($A188,Equipment!$S$5:$S$500,0))&amp;"",""))</f>
        <v/>
      </c>
      <c r="I188" s="0" t="str">
        <f aca="false">IF($A188="","",IFERROR(INDEX(Equipment!$K$5:$K$500,MATCH($A188,Equipment!$S$5:$S$500,0))&amp;"",""))</f>
        <v/>
      </c>
      <c r="J188" s="0" t="str">
        <f aca="false">IF($A188="","",IFERROR(INDEX(Equipment!$L$5:$L$500,MATCH($A188,Equipment!$S$5:$S$500,0))&amp;"",""))</f>
        <v/>
      </c>
      <c r="K188" s="0" t="str">
        <f aca="false">IF($A188="","",IFERROR(INDEX(Equipment!$Q$5:$Q$500,MATCH($A188,Equipment!$S$5:$S$500,0))&amp;"",""))</f>
        <v/>
      </c>
    </row>
    <row r="189" customFormat="false" ht="15" hidden="false" customHeight="false" outlineLevel="0" collapsed="false">
      <c r="A189" s="0" t="str">
        <f aca="false">IF(181&gt;$C$6,"",181)</f>
        <v/>
      </c>
      <c r="B189" s="0" t="str">
        <f aca="false">IF($A189="","",IFERROR(INDEX(Equipment!$A$5:$A$500,MATCH($A189,Equipment!$S$5:$S$500,0))&amp;"",""))</f>
        <v/>
      </c>
      <c r="C189" s="0" t="str">
        <f aca="false">IF($A189="","",IFERROR(INDEX(Equipment!$B$5:$B$500,MATCH($A189,Equipment!$S$5:$S$500,0))&amp;"",""))</f>
        <v/>
      </c>
      <c r="D189" s="0" t="str">
        <f aca="false">IF($A189="","",IFERROR(INDEX(Equipment!$E$5:$E$500,MATCH($A189,Equipment!$S$5:$S$500,0))&amp;"",""))</f>
        <v/>
      </c>
      <c r="E189" s="0" t="str">
        <f aca="false">IF($A189="","",IFERROR(INDEX(Equipment!$F$5:$F$500,MATCH($A189,Equipment!$S$5:$S$500,0))&amp;"",""))</f>
        <v/>
      </c>
      <c r="F189" s="0" t="str">
        <f aca="false">IF($A189="","",IFERROR(INDEX(Equipment!$G$5:$G$500,MATCH($A189,Equipment!$S$5:$S$500,0))&amp;"",""))</f>
        <v/>
      </c>
      <c r="G189" s="0" t="str">
        <f aca="false">IF($A189="","",IFERROR(INDEX(Equipment!$H$5:$H$500,MATCH($A189,Equipment!$S$5:$S$500,0))&amp;"",""))</f>
        <v/>
      </c>
      <c r="H189" s="0" t="str">
        <f aca="false">IF($A189="","",IFERROR(INDEX(Equipment!$J$5:$J$500,MATCH($A189,Equipment!$S$5:$S$500,0))&amp;"",""))</f>
        <v/>
      </c>
      <c r="I189" s="0" t="str">
        <f aca="false">IF($A189="","",IFERROR(INDEX(Equipment!$K$5:$K$500,MATCH($A189,Equipment!$S$5:$S$500,0))&amp;"",""))</f>
        <v/>
      </c>
      <c r="J189" s="0" t="str">
        <f aca="false">IF($A189="","",IFERROR(INDEX(Equipment!$L$5:$L$500,MATCH($A189,Equipment!$S$5:$S$500,0))&amp;"",""))</f>
        <v/>
      </c>
      <c r="K189" s="0" t="str">
        <f aca="false">IF($A189="","",IFERROR(INDEX(Equipment!$Q$5:$Q$500,MATCH($A189,Equipment!$S$5:$S$500,0))&amp;"",""))</f>
        <v/>
      </c>
    </row>
    <row r="190" customFormat="false" ht="15" hidden="false" customHeight="false" outlineLevel="0" collapsed="false">
      <c r="A190" s="0" t="str">
        <f aca="false">IF(182&gt;$C$6,"",182)</f>
        <v/>
      </c>
      <c r="B190" s="0" t="str">
        <f aca="false">IF($A190="","",IFERROR(INDEX(Equipment!$A$5:$A$500,MATCH($A190,Equipment!$S$5:$S$500,0))&amp;"",""))</f>
        <v/>
      </c>
      <c r="C190" s="0" t="str">
        <f aca="false">IF($A190="","",IFERROR(INDEX(Equipment!$B$5:$B$500,MATCH($A190,Equipment!$S$5:$S$500,0))&amp;"",""))</f>
        <v/>
      </c>
      <c r="D190" s="0" t="str">
        <f aca="false">IF($A190="","",IFERROR(INDEX(Equipment!$E$5:$E$500,MATCH($A190,Equipment!$S$5:$S$500,0))&amp;"",""))</f>
        <v/>
      </c>
      <c r="E190" s="0" t="str">
        <f aca="false">IF($A190="","",IFERROR(INDEX(Equipment!$F$5:$F$500,MATCH($A190,Equipment!$S$5:$S$500,0))&amp;"",""))</f>
        <v/>
      </c>
      <c r="F190" s="0" t="str">
        <f aca="false">IF($A190="","",IFERROR(INDEX(Equipment!$G$5:$G$500,MATCH($A190,Equipment!$S$5:$S$500,0))&amp;"",""))</f>
        <v/>
      </c>
      <c r="G190" s="0" t="str">
        <f aca="false">IF($A190="","",IFERROR(INDEX(Equipment!$H$5:$H$500,MATCH($A190,Equipment!$S$5:$S$500,0))&amp;"",""))</f>
        <v/>
      </c>
      <c r="H190" s="0" t="str">
        <f aca="false">IF($A190="","",IFERROR(INDEX(Equipment!$J$5:$J$500,MATCH($A190,Equipment!$S$5:$S$500,0))&amp;"",""))</f>
        <v/>
      </c>
      <c r="I190" s="0" t="str">
        <f aca="false">IF($A190="","",IFERROR(INDEX(Equipment!$K$5:$K$500,MATCH($A190,Equipment!$S$5:$S$500,0))&amp;"",""))</f>
        <v/>
      </c>
      <c r="J190" s="0" t="str">
        <f aca="false">IF($A190="","",IFERROR(INDEX(Equipment!$L$5:$L$500,MATCH($A190,Equipment!$S$5:$S$500,0))&amp;"",""))</f>
        <v/>
      </c>
      <c r="K190" s="0" t="str">
        <f aca="false">IF($A190="","",IFERROR(INDEX(Equipment!$Q$5:$Q$500,MATCH($A190,Equipment!$S$5:$S$500,0))&amp;"",""))</f>
        <v/>
      </c>
    </row>
    <row r="191" customFormat="false" ht="15" hidden="false" customHeight="false" outlineLevel="0" collapsed="false">
      <c r="A191" s="0" t="str">
        <f aca="false">IF(183&gt;$C$6,"",183)</f>
        <v/>
      </c>
      <c r="B191" s="0" t="str">
        <f aca="false">IF($A191="","",IFERROR(INDEX(Equipment!$A$5:$A$500,MATCH($A191,Equipment!$S$5:$S$500,0))&amp;"",""))</f>
        <v/>
      </c>
      <c r="C191" s="0" t="str">
        <f aca="false">IF($A191="","",IFERROR(INDEX(Equipment!$B$5:$B$500,MATCH($A191,Equipment!$S$5:$S$500,0))&amp;"",""))</f>
        <v/>
      </c>
      <c r="D191" s="0" t="str">
        <f aca="false">IF($A191="","",IFERROR(INDEX(Equipment!$E$5:$E$500,MATCH($A191,Equipment!$S$5:$S$500,0))&amp;"",""))</f>
        <v/>
      </c>
      <c r="E191" s="0" t="str">
        <f aca="false">IF($A191="","",IFERROR(INDEX(Equipment!$F$5:$F$500,MATCH($A191,Equipment!$S$5:$S$500,0))&amp;"",""))</f>
        <v/>
      </c>
      <c r="F191" s="0" t="str">
        <f aca="false">IF($A191="","",IFERROR(INDEX(Equipment!$G$5:$G$500,MATCH($A191,Equipment!$S$5:$S$500,0))&amp;"",""))</f>
        <v/>
      </c>
      <c r="G191" s="0" t="str">
        <f aca="false">IF($A191="","",IFERROR(INDEX(Equipment!$H$5:$H$500,MATCH($A191,Equipment!$S$5:$S$500,0))&amp;"",""))</f>
        <v/>
      </c>
      <c r="H191" s="0" t="str">
        <f aca="false">IF($A191="","",IFERROR(INDEX(Equipment!$J$5:$J$500,MATCH($A191,Equipment!$S$5:$S$500,0))&amp;"",""))</f>
        <v/>
      </c>
      <c r="I191" s="0" t="str">
        <f aca="false">IF($A191="","",IFERROR(INDEX(Equipment!$K$5:$K$500,MATCH($A191,Equipment!$S$5:$S$500,0))&amp;"",""))</f>
        <v/>
      </c>
      <c r="J191" s="0" t="str">
        <f aca="false">IF($A191="","",IFERROR(INDEX(Equipment!$L$5:$L$500,MATCH($A191,Equipment!$S$5:$S$500,0))&amp;"",""))</f>
        <v/>
      </c>
      <c r="K191" s="0" t="str">
        <f aca="false">IF($A191="","",IFERROR(INDEX(Equipment!$Q$5:$Q$500,MATCH($A191,Equipment!$S$5:$S$500,0))&amp;"",""))</f>
        <v/>
      </c>
    </row>
    <row r="192" customFormat="false" ht="15" hidden="false" customHeight="false" outlineLevel="0" collapsed="false">
      <c r="A192" s="0" t="str">
        <f aca="false">IF(184&gt;$C$6,"",184)</f>
        <v/>
      </c>
      <c r="B192" s="0" t="str">
        <f aca="false">IF($A192="","",IFERROR(INDEX(Equipment!$A$5:$A$500,MATCH($A192,Equipment!$S$5:$S$500,0))&amp;"",""))</f>
        <v/>
      </c>
      <c r="C192" s="0" t="str">
        <f aca="false">IF($A192="","",IFERROR(INDEX(Equipment!$B$5:$B$500,MATCH($A192,Equipment!$S$5:$S$500,0))&amp;"",""))</f>
        <v/>
      </c>
      <c r="D192" s="0" t="str">
        <f aca="false">IF($A192="","",IFERROR(INDEX(Equipment!$E$5:$E$500,MATCH($A192,Equipment!$S$5:$S$500,0))&amp;"",""))</f>
        <v/>
      </c>
      <c r="E192" s="0" t="str">
        <f aca="false">IF($A192="","",IFERROR(INDEX(Equipment!$F$5:$F$500,MATCH($A192,Equipment!$S$5:$S$500,0))&amp;"",""))</f>
        <v/>
      </c>
      <c r="F192" s="0" t="str">
        <f aca="false">IF($A192="","",IFERROR(INDEX(Equipment!$G$5:$G$500,MATCH($A192,Equipment!$S$5:$S$500,0))&amp;"",""))</f>
        <v/>
      </c>
      <c r="G192" s="0" t="str">
        <f aca="false">IF($A192="","",IFERROR(INDEX(Equipment!$H$5:$H$500,MATCH($A192,Equipment!$S$5:$S$500,0))&amp;"",""))</f>
        <v/>
      </c>
      <c r="H192" s="0" t="str">
        <f aca="false">IF($A192="","",IFERROR(INDEX(Equipment!$J$5:$J$500,MATCH($A192,Equipment!$S$5:$S$500,0))&amp;"",""))</f>
        <v/>
      </c>
      <c r="I192" s="0" t="str">
        <f aca="false">IF($A192="","",IFERROR(INDEX(Equipment!$K$5:$K$500,MATCH($A192,Equipment!$S$5:$S$500,0))&amp;"",""))</f>
        <v/>
      </c>
      <c r="J192" s="0" t="str">
        <f aca="false">IF($A192="","",IFERROR(INDEX(Equipment!$L$5:$L$500,MATCH($A192,Equipment!$S$5:$S$500,0))&amp;"",""))</f>
        <v/>
      </c>
      <c r="K192" s="0" t="str">
        <f aca="false">IF($A192="","",IFERROR(INDEX(Equipment!$Q$5:$Q$500,MATCH($A192,Equipment!$S$5:$S$500,0))&amp;"",""))</f>
        <v/>
      </c>
    </row>
    <row r="193" customFormat="false" ht="15" hidden="false" customHeight="false" outlineLevel="0" collapsed="false">
      <c r="A193" s="0" t="str">
        <f aca="false">IF(185&gt;$C$6,"",185)</f>
        <v/>
      </c>
      <c r="B193" s="0" t="str">
        <f aca="false">IF($A193="","",IFERROR(INDEX(Equipment!$A$5:$A$500,MATCH($A193,Equipment!$S$5:$S$500,0))&amp;"",""))</f>
        <v/>
      </c>
      <c r="C193" s="0" t="str">
        <f aca="false">IF($A193="","",IFERROR(INDEX(Equipment!$B$5:$B$500,MATCH($A193,Equipment!$S$5:$S$500,0))&amp;"",""))</f>
        <v/>
      </c>
      <c r="D193" s="0" t="str">
        <f aca="false">IF($A193="","",IFERROR(INDEX(Equipment!$E$5:$E$500,MATCH($A193,Equipment!$S$5:$S$500,0))&amp;"",""))</f>
        <v/>
      </c>
      <c r="E193" s="0" t="str">
        <f aca="false">IF($A193="","",IFERROR(INDEX(Equipment!$F$5:$F$500,MATCH($A193,Equipment!$S$5:$S$500,0))&amp;"",""))</f>
        <v/>
      </c>
      <c r="F193" s="0" t="str">
        <f aca="false">IF($A193="","",IFERROR(INDEX(Equipment!$G$5:$G$500,MATCH($A193,Equipment!$S$5:$S$500,0))&amp;"",""))</f>
        <v/>
      </c>
      <c r="G193" s="0" t="str">
        <f aca="false">IF($A193="","",IFERROR(INDEX(Equipment!$H$5:$H$500,MATCH($A193,Equipment!$S$5:$S$500,0))&amp;"",""))</f>
        <v/>
      </c>
      <c r="H193" s="0" t="str">
        <f aca="false">IF($A193="","",IFERROR(INDEX(Equipment!$J$5:$J$500,MATCH($A193,Equipment!$S$5:$S$500,0))&amp;"",""))</f>
        <v/>
      </c>
      <c r="I193" s="0" t="str">
        <f aca="false">IF($A193="","",IFERROR(INDEX(Equipment!$K$5:$K$500,MATCH($A193,Equipment!$S$5:$S$500,0))&amp;"",""))</f>
        <v/>
      </c>
      <c r="J193" s="0" t="str">
        <f aca="false">IF($A193="","",IFERROR(INDEX(Equipment!$L$5:$L$500,MATCH($A193,Equipment!$S$5:$S$500,0))&amp;"",""))</f>
        <v/>
      </c>
      <c r="K193" s="0" t="str">
        <f aca="false">IF($A193="","",IFERROR(INDEX(Equipment!$Q$5:$Q$500,MATCH($A193,Equipment!$S$5:$S$500,0))&amp;"",""))</f>
        <v/>
      </c>
    </row>
    <row r="194" customFormat="false" ht="15" hidden="false" customHeight="false" outlineLevel="0" collapsed="false">
      <c r="A194" s="0" t="str">
        <f aca="false">IF(186&gt;$C$6,"",186)</f>
        <v/>
      </c>
      <c r="B194" s="0" t="str">
        <f aca="false">IF($A194="","",IFERROR(INDEX(Equipment!$A$5:$A$500,MATCH($A194,Equipment!$S$5:$S$500,0))&amp;"",""))</f>
        <v/>
      </c>
      <c r="C194" s="0" t="str">
        <f aca="false">IF($A194="","",IFERROR(INDEX(Equipment!$B$5:$B$500,MATCH($A194,Equipment!$S$5:$S$500,0))&amp;"",""))</f>
        <v/>
      </c>
      <c r="D194" s="0" t="str">
        <f aca="false">IF($A194="","",IFERROR(INDEX(Equipment!$E$5:$E$500,MATCH($A194,Equipment!$S$5:$S$500,0))&amp;"",""))</f>
        <v/>
      </c>
      <c r="E194" s="0" t="str">
        <f aca="false">IF($A194="","",IFERROR(INDEX(Equipment!$F$5:$F$500,MATCH($A194,Equipment!$S$5:$S$500,0))&amp;"",""))</f>
        <v/>
      </c>
      <c r="F194" s="0" t="str">
        <f aca="false">IF($A194="","",IFERROR(INDEX(Equipment!$G$5:$G$500,MATCH($A194,Equipment!$S$5:$S$500,0))&amp;"",""))</f>
        <v/>
      </c>
      <c r="G194" s="0" t="str">
        <f aca="false">IF($A194="","",IFERROR(INDEX(Equipment!$H$5:$H$500,MATCH($A194,Equipment!$S$5:$S$500,0))&amp;"",""))</f>
        <v/>
      </c>
      <c r="H194" s="0" t="str">
        <f aca="false">IF($A194="","",IFERROR(INDEX(Equipment!$J$5:$J$500,MATCH($A194,Equipment!$S$5:$S$500,0))&amp;"",""))</f>
        <v/>
      </c>
      <c r="I194" s="0" t="str">
        <f aca="false">IF($A194="","",IFERROR(INDEX(Equipment!$K$5:$K$500,MATCH($A194,Equipment!$S$5:$S$500,0))&amp;"",""))</f>
        <v/>
      </c>
      <c r="J194" s="0" t="str">
        <f aca="false">IF($A194="","",IFERROR(INDEX(Equipment!$L$5:$L$500,MATCH($A194,Equipment!$S$5:$S$500,0))&amp;"",""))</f>
        <v/>
      </c>
      <c r="K194" s="0" t="str">
        <f aca="false">IF($A194="","",IFERROR(INDEX(Equipment!$Q$5:$Q$500,MATCH($A194,Equipment!$S$5:$S$500,0))&amp;"",""))</f>
        <v/>
      </c>
    </row>
    <row r="195" customFormat="false" ht="15" hidden="false" customHeight="false" outlineLevel="0" collapsed="false">
      <c r="A195" s="0" t="str">
        <f aca="false">IF(187&gt;$C$6,"",187)</f>
        <v/>
      </c>
      <c r="B195" s="0" t="str">
        <f aca="false">IF($A195="","",IFERROR(INDEX(Equipment!$A$5:$A$500,MATCH($A195,Equipment!$S$5:$S$500,0))&amp;"",""))</f>
        <v/>
      </c>
      <c r="C195" s="0" t="str">
        <f aca="false">IF($A195="","",IFERROR(INDEX(Equipment!$B$5:$B$500,MATCH($A195,Equipment!$S$5:$S$500,0))&amp;"",""))</f>
        <v/>
      </c>
      <c r="D195" s="0" t="str">
        <f aca="false">IF($A195="","",IFERROR(INDEX(Equipment!$E$5:$E$500,MATCH($A195,Equipment!$S$5:$S$500,0))&amp;"",""))</f>
        <v/>
      </c>
      <c r="E195" s="0" t="str">
        <f aca="false">IF($A195="","",IFERROR(INDEX(Equipment!$F$5:$F$500,MATCH($A195,Equipment!$S$5:$S$500,0))&amp;"",""))</f>
        <v/>
      </c>
      <c r="F195" s="0" t="str">
        <f aca="false">IF($A195="","",IFERROR(INDEX(Equipment!$G$5:$G$500,MATCH($A195,Equipment!$S$5:$S$500,0))&amp;"",""))</f>
        <v/>
      </c>
      <c r="G195" s="0" t="str">
        <f aca="false">IF($A195="","",IFERROR(INDEX(Equipment!$H$5:$H$500,MATCH($A195,Equipment!$S$5:$S$500,0))&amp;"",""))</f>
        <v/>
      </c>
      <c r="H195" s="0" t="str">
        <f aca="false">IF($A195="","",IFERROR(INDEX(Equipment!$J$5:$J$500,MATCH($A195,Equipment!$S$5:$S$500,0))&amp;"",""))</f>
        <v/>
      </c>
      <c r="I195" s="0" t="str">
        <f aca="false">IF($A195="","",IFERROR(INDEX(Equipment!$K$5:$K$500,MATCH($A195,Equipment!$S$5:$S$500,0))&amp;"",""))</f>
        <v/>
      </c>
      <c r="J195" s="0" t="str">
        <f aca="false">IF($A195="","",IFERROR(INDEX(Equipment!$L$5:$L$500,MATCH($A195,Equipment!$S$5:$S$500,0))&amp;"",""))</f>
        <v/>
      </c>
      <c r="K195" s="0" t="str">
        <f aca="false">IF($A195="","",IFERROR(INDEX(Equipment!$Q$5:$Q$500,MATCH($A195,Equipment!$S$5:$S$500,0))&amp;"",""))</f>
        <v/>
      </c>
    </row>
    <row r="196" customFormat="false" ht="15" hidden="false" customHeight="false" outlineLevel="0" collapsed="false">
      <c r="A196" s="0" t="str">
        <f aca="false">IF(188&gt;$C$6,"",188)</f>
        <v/>
      </c>
      <c r="B196" s="0" t="str">
        <f aca="false">IF($A196="","",IFERROR(INDEX(Equipment!$A$5:$A$500,MATCH($A196,Equipment!$S$5:$S$500,0))&amp;"",""))</f>
        <v/>
      </c>
      <c r="C196" s="0" t="str">
        <f aca="false">IF($A196="","",IFERROR(INDEX(Equipment!$B$5:$B$500,MATCH($A196,Equipment!$S$5:$S$500,0))&amp;"",""))</f>
        <v/>
      </c>
      <c r="D196" s="0" t="str">
        <f aca="false">IF($A196="","",IFERROR(INDEX(Equipment!$E$5:$E$500,MATCH($A196,Equipment!$S$5:$S$500,0))&amp;"",""))</f>
        <v/>
      </c>
      <c r="E196" s="0" t="str">
        <f aca="false">IF($A196="","",IFERROR(INDEX(Equipment!$F$5:$F$500,MATCH($A196,Equipment!$S$5:$S$500,0))&amp;"",""))</f>
        <v/>
      </c>
      <c r="F196" s="0" t="str">
        <f aca="false">IF($A196="","",IFERROR(INDEX(Equipment!$G$5:$G$500,MATCH($A196,Equipment!$S$5:$S$500,0))&amp;"",""))</f>
        <v/>
      </c>
      <c r="G196" s="0" t="str">
        <f aca="false">IF($A196="","",IFERROR(INDEX(Equipment!$H$5:$H$500,MATCH($A196,Equipment!$S$5:$S$500,0))&amp;"",""))</f>
        <v/>
      </c>
      <c r="H196" s="0" t="str">
        <f aca="false">IF($A196="","",IFERROR(INDEX(Equipment!$J$5:$J$500,MATCH($A196,Equipment!$S$5:$S$500,0))&amp;"",""))</f>
        <v/>
      </c>
      <c r="I196" s="0" t="str">
        <f aca="false">IF($A196="","",IFERROR(INDEX(Equipment!$K$5:$K$500,MATCH($A196,Equipment!$S$5:$S$500,0))&amp;"",""))</f>
        <v/>
      </c>
      <c r="J196" s="0" t="str">
        <f aca="false">IF($A196="","",IFERROR(INDEX(Equipment!$L$5:$L$500,MATCH($A196,Equipment!$S$5:$S$500,0))&amp;"",""))</f>
        <v/>
      </c>
      <c r="K196" s="0" t="str">
        <f aca="false">IF($A196="","",IFERROR(INDEX(Equipment!$Q$5:$Q$500,MATCH($A196,Equipment!$S$5:$S$500,0))&amp;"",""))</f>
        <v/>
      </c>
    </row>
    <row r="197" customFormat="false" ht="15" hidden="false" customHeight="false" outlineLevel="0" collapsed="false">
      <c r="A197" s="0" t="str">
        <f aca="false">IF(189&gt;$C$6,"",189)</f>
        <v/>
      </c>
      <c r="B197" s="0" t="str">
        <f aca="false">IF($A197="","",IFERROR(INDEX(Equipment!$A$5:$A$500,MATCH($A197,Equipment!$S$5:$S$500,0))&amp;"",""))</f>
        <v/>
      </c>
      <c r="C197" s="0" t="str">
        <f aca="false">IF($A197="","",IFERROR(INDEX(Equipment!$B$5:$B$500,MATCH($A197,Equipment!$S$5:$S$500,0))&amp;"",""))</f>
        <v/>
      </c>
      <c r="D197" s="0" t="str">
        <f aca="false">IF($A197="","",IFERROR(INDEX(Equipment!$E$5:$E$500,MATCH($A197,Equipment!$S$5:$S$500,0))&amp;"",""))</f>
        <v/>
      </c>
      <c r="E197" s="0" t="str">
        <f aca="false">IF($A197="","",IFERROR(INDEX(Equipment!$F$5:$F$500,MATCH($A197,Equipment!$S$5:$S$500,0))&amp;"",""))</f>
        <v/>
      </c>
      <c r="F197" s="0" t="str">
        <f aca="false">IF($A197="","",IFERROR(INDEX(Equipment!$G$5:$G$500,MATCH($A197,Equipment!$S$5:$S$500,0))&amp;"",""))</f>
        <v/>
      </c>
      <c r="G197" s="0" t="str">
        <f aca="false">IF($A197="","",IFERROR(INDEX(Equipment!$H$5:$H$500,MATCH($A197,Equipment!$S$5:$S$500,0))&amp;"",""))</f>
        <v/>
      </c>
      <c r="H197" s="0" t="str">
        <f aca="false">IF($A197="","",IFERROR(INDEX(Equipment!$J$5:$J$500,MATCH($A197,Equipment!$S$5:$S$500,0))&amp;"",""))</f>
        <v/>
      </c>
      <c r="I197" s="0" t="str">
        <f aca="false">IF($A197="","",IFERROR(INDEX(Equipment!$K$5:$K$500,MATCH($A197,Equipment!$S$5:$S$500,0))&amp;"",""))</f>
        <v/>
      </c>
      <c r="J197" s="0" t="str">
        <f aca="false">IF($A197="","",IFERROR(INDEX(Equipment!$L$5:$L$500,MATCH($A197,Equipment!$S$5:$S$500,0))&amp;"",""))</f>
        <v/>
      </c>
      <c r="K197" s="0" t="str">
        <f aca="false">IF($A197="","",IFERROR(INDEX(Equipment!$Q$5:$Q$500,MATCH($A197,Equipment!$S$5:$S$500,0))&amp;"",""))</f>
        <v/>
      </c>
    </row>
    <row r="198" customFormat="false" ht="15" hidden="false" customHeight="false" outlineLevel="0" collapsed="false">
      <c r="A198" s="0" t="str">
        <f aca="false">IF(190&gt;$C$6,"",190)</f>
        <v/>
      </c>
      <c r="B198" s="0" t="str">
        <f aca="false">IF($A198="","",IFERROR(INDEX(Equipment!$A$5:$A$500,MATCH($A198,Equipment!$S$5:$S$500,0))&amp;"",""))</f>
        <v/>
      </c>
      <c r="C198" s="0" t="str">
        <f aca="false">IF($A198="","",IFERROR(INDEX(Equipment!$B$5:$B$500,MATCH($A198,Equipment!$S$5:$S$500,0))&amp;"",""))</f>
        <v/>
      </c>
      <c r="D198" s="0" t="str">
        <f aca="false">IF($A198="","",IFERROR(INDEX(Equipment!$E$5:$E$500,MATCH($A198,Equipment!$S$5:$S$500,0))&amp;"",""))</f>
        <v/>
      </c>
      <c r="E198" s="0" t="str">
        <f aca="false">IF($A198="","",IFERROR(INDEX(Equipment!$F$5:$F$500,MATCH($A198,Equipment!$S$5:$S$500,0))&amp;"",""))</f>
        <v/>
      </c>
      <c r="F198" s="0" t="str">
        <f aca="false">IF($A198="","",IFERROR(INDEX(Equipment!$G$5:$G$500,MATCH($A198,Equipment!$S$5:$S$500,0))&amp;"",""))</f>
        <v/>
      </c>
      <c r="G198" s="0" t="str">
        <f aca="false">IF($A198="","",IFERROR(INDEX(Equipment!$H$5:$H$500,MATCH($A198,Equipment!$S$5:$S$500,0))&amp;"",""))</f>
        <v/>
      </c>
      <c r="H198" s="0" t="str">
        <f aca="false">IF($A198="","",IFERROR(INDEX(Equipment!$J$5:$J$500,MATCH($A198,Equipment!$S$5:$S$500,0))&amp;"",""))</f>
        <v/>
      </c>
      <c r="I198" s="0" t="str">
        <f aca="false">IF($A198="","",IFERROR(INDEX(Equipment!$K$5:$K$500,MATCH($A198,Equipment!$S$5:$S$500,0))&amp;"",""))</f>
        <v/>
      </c>
      <c r="J198" s="0" t="str">
        <f aca="false">IF($A198="","",IFERROR(INDEX(Equipment!$L$5:$L$500,MATCH($A198,Equipment!$S$5:$S$500,0))&amp;"",""))</f>
        <v/>
      </c>
      <c r="K198" s="0" t="str">
        <f aca="false">IF($A198="","",IFERROR(INDEX(Equipment!$Q$5:$Q$500,MATCH($A198,Equipment!$S$5:$S$500,0))&amp;"",""))</f>
        <v/>
      </c>
    </row>
    <row r="199" customFormat="false" ht="15" hidden="false" customHeight="false" outlineLevel="0" collapsed="false">
      <c r="A199" s="0" t="str">
        <f aca="false">IF(191&gt;$C$6,"",191)</f>
        <v/>
      </c>
      <c r="B199" s="0" t="str">
        <f aca="false">IF($A199="","",IFERROR(INDEX(Equipment!$A$5:$A$500,MATCH($A199,Equipment!$S$5:$S$500,0))&amp;"",""))</f>
        <v/>
      </c>
      <c r="C199" s="0" t="str">
        <f aca="false">IF($A199="","",IFERROR(INDEX(Equipment!$B$5:$B$500,MATCH($A199,Equipment!$S$5:$S$500,0))&amp;"",""))</f>
        <v/>
      </c>
      <c r="D199" s="0" t="str">
        <f aca="false">IF($A199="","",IFERROR(INDEX(Equipment!$E$5:$E$500,MATCH($A199,Equipment!$S$5:$S$500,0))&amp;"",""))</f>
        <v/>
      </c>
      <c r="E199" s="0" t="str">
        <f aca="false">IF($A199="","",IFERROR(INDEX(Equipment!$F$5:$F$500,MATCH($A199,Equipment!$S$5:$S$500,0))&amp;"",""))</f>
        <v/>
      </c>
      <c r="F199" s="0" t="str">
        <f aca="false">IF($A199="","",IFERROR(INDEX(Equipment!$G$5:$G$500,MATCH($A199,Equipment!$S$5:$S$500,0))&amp;"",""))</f>
        <v/>
      </c>
      <c r="G199" s="0" t="str">
        <f aca="false">IF($A199="","",IFERROR(INDEX(Equipment!$H$5:$H$500,MATCH($A199,Equipment!$S$5:$S$500,0))&amp;"",""))</f>
        <v/>
      </c>
      <c r="H199" s="0" t="str">
        <f aca="false">IF($A199="","",IFERROR(INDEX(Equipment!$J$5:$J$500,MATCH($A199,Equipment!$S$5:$S$500,0))&amp;"",""))</f>
        <v/>
      </c>
      <c r="I199" s="0" t="str">
        <f aca="false">IF($A199="","",IFERROR(INDEX(Equipment!$K$5:$K$500,MATCH($A199,Equipment!$S$5:$S$500,0))&amp;"",""))</f>
        <v/>
      </c>
      <c r="J199" s="0" t="str">
        <f aca="false">IF($A199="","",IFERROR(INDEX(Equipment!$L$5:$L$500,MATCH($A199,Equipment!$S$5:$S$500,0))&amp;"",""))</f>
        <v/>
      </c>
      <c r="K199" s="0" t="str">
        <f aca="false">IF($A199="","",IFERROR(INDEX(Equipment!$Q$5:$Q$500,MATCH($A199,Equipment!$S$5:$S$500,0))&amp;"",""))</f>
        <v/>
      </c>
    </row>
    <row r="200" customFormat="false" ht="15" hidden="false" customHeight="false" outlineLevel="0" collapsed="false">
      <c r="A200" s="0" t="str">
        <f aca="false">IF(192&gt;$C$6,"",192)</f>
        <v/>
      </c>
      <c r="B200" s="0" t="str">
        <f aca="false">IF($A200="","",IFERROR(INDEX(Equipment!$A$5:$A$500,MATCH($A200,Equipment!$S$5:$S$500,0))&amp;"",""))</f>
        <v/>
      </c>
      <c r="C200" s="0" t="str">
        <f aca="false">IF($A200="","",IFERROR(INDEX(Equipment!$B$5:$B$500,MATCH($A200,Equipment!$S$5:$S$500,0))&amp;"",""))</f>
        <v/>
      </c>
      <c r="D200" s="0" t="str">
        <f aca="false">IF($A200="","",IFERROR(INDEX(Equipment!$E$5:$E$500,MATCH($A200,Equipment!$S$5:$S$500,0))&amp;"",""))</f>
        <v/>
      </c>
      <c r="E200" s="0" t="str">
        <f aca="false">IF($A200="","",IFERROR(INDEX(Equipment!$F$5:$F$500,MATCH($A200,Equipment!$S$5:$S$500,0))&amp;"",""))</f>
        <v/>
      </c>
      <c r="F200" s="0" t="str">
        <f aca="false">IF($A200="","",IFERROR(INDEX(Equipment!$G$5:$G$500,MATCH($A200,Equipment!$S$5:$S$500,0))&amp;"",""))</f>
        <v/>
      </c>
      <c r="G200" s="0" t="str">
        <f aca="false">IF($A200="","",IFERROR(INDEX(Equipment!$H$5:$H$500,MATCH($A200,Equipment!$S$5:$S$500,0))&amp;"",""))</f>
        <v/>
      </c>
      <c r="H200" s="0" t="str">
        <f aca="false">IF($A200="","",IFERROR(INDEX(Equipment!$J$5:$J$500,MATCH($A200,Equipment!$S$5:$S$500,0))&amp;"",""))</f>
        <v/>
      </c>
      <c r="I200" s="0" t="str">
        <f aca="false">IF($A200="","",IFERROR(INDEX(Equipment!$K$5:$K$500,MATCH($A200,Equipment!$S$5:$S$500,0))&amp;"",""))</f>
        <v/>
      </c>
      <c r="J200" s="0" t="str">
        <f aca="false">IF($A200="","",IFERROR(INDEX(Equipment!$L$5:$L$500,MATCH($A200,Equipment!$S$5:$S$500,0))&amp;"",""))</f>
        <v/>
      </c>
      <c r="K200" s="0" t="str">
        <f aca="false">IF($A200="","",IFERROR(INDEX(Equipment!$Q$5:$Q$500,MATCH($A200,Equipment!$S$5:$S$500,0))&amp;"",""))</f>
        <v/>
      </c>
    </row>
    <row r="201" customFormat="false" ht="15" hidden="false" customHeight="false" outlineLevel="0" collapsed="false">
      <c r="A201" s="0" t="str">
        <f aca="false">IF(193&gt;$C$6,"",193)</f>
        <v/>
      </c>
      <c r="B201" s="0" t="str">
        <f aca="false">IF($A201="","",IFERROR(INDEX(Equipment!$A$5:$A$500,MATCH($A201,Equipment!$S$5:$S$500,0))&amp;"",""))</f>
        <v/>
      </c>
      <c r="C201" s="0" t="str">
        <f aca="false">IF($A201="","",IFERROR(INDEX(Equipment!$B$5:$B$500,MATCH($A201,Equipment!$S$5:$S$500,0))&amp;"",""))</f>
        <v/>
      </c>
      <c r="D201" s="0" t="str">
        <f aca="false">IF($A201="","",IFERROR(INDEX(Equipment!$E$5:$E$500,MATCH($A201,Equipment!$S$5:$S$500,0))&amp;"",""))</f>
        <v/>
      </c>
      <c r="E201" s="0" t="str">
        <f aca="false">IF($A201="","",IFERROR(INDEX(Equipment!$F$5:$F$500,MATCH($A201,Equipment!$S$5:$S$500,0))&amp;"",""))</f>
        <v/>
      </c>
      <c r="F201" s="0" t="str">
        <f aca="false">IF($A201="","",IFERROR(INDEX(Equipment!$G$5:$G$500,MATCH($A201,Equipment!$S$5:$S$500,0))&amp;"",""))</f>
        <v/>
      </c>
      <c r="G201" s="0" t="str">
        <f aca="false">IF($A201="","",IFERROR(INDEX(Equipment!$H$5:$H$500,MATCH($A201,Equipment!$S$5:$S$500,0))&amp;"",""))</f>
        <v/>
      </c>
      <c r="H201" s="0" t="str">
        <f aca="false">IF($A201="","",IFERROR(INDEX(Equipment!$J$5:$J$500,MATCH($A201,Equipment!$S$5:$S$500,0))&amp;"",""))</f>
        <v/>
      </c>
      <c r="I201" s="0" t="str">
        <f aca="false">IF($A201="","",IFERROR(INDEX(Equipment!$K$5:$K$500,MATCH($A201,Equipment!$S$5:$S$500,0))&amp;"",""))</f>
        <v/>
      </c>
      <c r="J201" s="0" t="str">
        <f aca="false">IF($A201="","",IFERROR(INDEX(Equipment!$L$5:$L$500,MATCH($A201,Equipment!$S$5:$S$500,0))&amp;"",""))</f>
        <v/>
      </c>
      <c r="K201" s="0" t="str">
        <f aca="false">IF($A201="","",IFERROR(INDEX(Equipment!$Q$5:$Q$500,MATCH($A201,Equipment!$S$5:$S$500,0))&amp;"",""))</f>
        <v/>
      </c>
    </row>
    <row r="202" customFormat="false" ht="15" hidden="false" customHeight="false" outlineLevel="0" collapsed="false">
      <c r="A202" s="0" t="str">
        <f aca="false">IF(194&gt;$C$6,"",194)</f>
        <v/>
      </c>
      <c r="B202" s="0" t="str">
        <f aca="false">IF($A202="","",IFERROR(INDEX(Equipment!$A$5:$A$500,MATCH($A202,Equipment!$S$5:$S$500,0))&amp;"",""))</f>
        <v/>
      </c>
      <c r="C202" s="0" t="str">
        <f aca="false">IF($A202="","",IFERROR(INDEX(Equipment!$B$5:$B$500,MATCH($A202,Equipment!$S$5:$S$500,0))&amp;"",""))</f>
        <v/>
      </c>
      <c r="D202" s="0" t="str">
        <f aca="false">IF($A202="","",IFERROR(INDEX(Equipment!$E$5:$E$500,MATCH($A202,Equipment!$S$5:$S$500,0))&amp;"",""))</f>
        <v/>
      </c>
      <c r="E202" s="0" t="str">
        <f aca="false">IF($A202="","",IFERROR(INDEX(Equipment!$F$5:$F$500,MATCH($A202,Equipment!$S$5:$S$500,0))&amp;"",""))</f>
        <v/>
      </c>
      <c r="F202" s="0" t="str">
        <f aca="false">IF($A202="","",IFERROR(INDEX(Equipment!$G$5:$G$500,MATCH($A202,Equipment!$S$5:$S$500,0))&amp;"",""))</f>
        <v/>
      </c>
      <c r="G202" s="0" t="str">
        <f aca="false">IF($A202="","",IFERROR(INDEX(Equipment!$H$5:$H$500,MATCH($A202,Equipment!$S$5:$S$500,0))&amp;"",""))</f>
        <v/>
      </c>
      <c r="H202" s="0" t="str">
        <f aca="false">IF($A202="","",IFERROR(INDEX(Equipment!$J$5:$J$500,MATCH($A202,Equipment!$S$5:$S$500,0))&amp;"",""))</f>
        <v/>
      </c>
      <c r="I202" s="0" t="str">
        <f aca="false">IF($A202="","",IFERROR(INDEX(Equipment!$K$5:$K$500,MATCH($A202,Equipment!$S$5:$S$500,0))&amp;"",""))</f>
        <v/>
      </c>
      <c r="J202" s="0" t="str">
        <f aca="false">IF($A202="","",IFERROR(INDEX(Equipment!$L$5:$L$500,MATCH($A202,Equipment!$S$5:$S$500,0))&amp;"",""))</f>
        <v/>
      </c>
      <c r="K202" s="0" t="str">
        <f aca="false">IF($A202="","",IFERROR(INDEX(Equipment!$Q$5:$Q$500,MATCH($A202,Equipment!$S$5:$S$500,0))&amp;"",""))</f>
        <v/>
      </c>
    </row>
    <row r="203" customFormat="false" ht="15" hidden="false" customHeight="false" outlineLevel="0" collapsed="false">
      <c r="A203" s="0" t="str">
        <f aca="false">IF(195&gt;$C$6,"",195)</f>
        <v/>
      </c>
      <c r="B203" s="0" t="str">
        <f aca="false">IF($A203="","",IFERROR(INDEX(Equipment!$A$5:$A$500,MATCH($A203,Equipment!$S$5:$S$500,0))&amp;"",""))</f>
        <v/>
      </c>
      <c r="C203" s="0" t="str">
        <f aca="false">IF($A203="","",IFERROR(INDEX(Equipment!$B$5:$B$500,MATCH($A203,Equipment!$S$5:$S$500,0))&amp;"",""))</f>
        <v/>
      </c>
      <c r="D203" s="0" t="str">
        <f aca="false">IF($A203="","",IFERROR(INDEX(Equipment!$E$5:$E$500,MATCH($A203,Equipment!$S$5:$S$500,0))&amp;"",""))</f>
        <v/>
      </c>
      <c r="E203" s="0" t="str">
        <f aca="false">IF($A203="","",IFERROR(INDEX(Equipment!$F$5:$F$500,MATCH($A203,Equipment!$S$5:$S$500,0))&amp;"",""))</f>
        <v/>
      </c>
      <c r="F203" s="0" t="str">
        <f aca="false">IF($A203="","",IFERROR(INDEX(Equipment!$G$5:$G$500,MATCH($A203,Equipment!$S$5:$S$500,0))&amp;"",""))</f>
        <v/>
      </c>
      <c r="G203" s="0" t="str">
        <f aca="false">IF($A203="","",IFERROR(INDEX(Equipment!$H$5:$H$500,MATCH($A203,Equipment!$S$5:$S$500,0))&amp;"",""))</f>
        <v/>
      </c>
      <c r="H203" s="0" t="str">
        <f aca="false">IF($A203="","",IFERROR(INDEX(Equipment!$J$5:$J$500,MATCH($A203,Equipment!$S$5:$S$500,0))&amp;"",""))</f>
        <v/>
      </c>
      <c r="I203" s="0" t="str">
        <f aca="false">IF($A203="","",IFERROR(INDEX(Equipment!$K$5:$K$500,MATCH($A203,Equipment!$S$5:$S$500,0))&amp;"",""))</f>
        <v/>
      </c>
      <c r="J203" s="0" t="str">
        <f aca="false">IF($A203="","",IFERROR(INDEX(Equipment!$L$5:$L$500,MATCH($A203,Equipment!$S$5:$S$500,0))&amp;"",""))</f>
        <v/>
      </c>
      <c r="K203" s="0" t="str">
        <f aca="false">IF($A203="","",IFERROR(INDEX(Equipment!$Q$5:$Q$500,MATCH($A203,Equipment!$S$5:$S$500,0))&amp;"",""))</f>
        <v/>
      </c>
    </row>
    <row r="204" customFormat="false" ht="15" hidden="false" customHeight="false" outlineLevel="0" collapsed="false">
      <c r="A204" s="0" t="str">
        <f aca="false">IF(196&gt;$C$6,"",196)</f>
        <v/>
      </c>
      <c r="B204" s="0" t="str">
        <f aca="false">IF($A204="","",IFERROR(INDEX(Equipment!$A$5:$A$500,MATCH($A204,Equipment!$S$5:$S$500,0))&amp;"",""))</f>
        <v/>
      </c>
      <c r="C204" s="0" t="str">
        <f aca="false">IF($A204="","",IFERROR(INDEX(Equipment!$B$5:$B$500,MATCH($A204,Equipment!$S$5:$S$500,0))&amp;"",""))</f>
        <v/>
      </c>
      <c r="D204" s="0" t="str">
        <f aca="false">IF($A204="","",IFERROR(INDEX(Equipment!$E$5:$E$500,MATCH($A204,Equipment!$S$5:$S$500,0))&amp;"",""))</f>
        <v/>
      </c>
      <c r="E204" s="0" t="str">
        <f aca="false">IF($A204="","",IFERROR(INDEX(Equipment!$F$5:$F$500,MATCH($A204,Equipment!$S$5:$S$500,0))&amp;"",""))</f>
        <v/>
      </c>
      <c r="F204" s="0" t="str">
        <f aca="false">IF($A204="","",IFERROR(INDEX(Equipment!$G$5:$G$500,MATCH($A204,Equipment!$S$5:$S$500,0))&amp;"",""))</f>
        <v/>
      </c>
      <c r="G204" s="0" t="str">
        <f aca="false">IF($A204="","",IFERROR(INDEX(Equipment!$H$5:$H$500,MATCH($A204,Equipment!$S$5:$S$500,0))&amp;"",""))</f>
        <v/>
      </c>
      <c r="H204" s="0" t="str">
        <f aca="false">IF($A204="","",IFERROR(INDEX(Equipment!$J$5:$J$500,MATCH($A204,Equipment!$S$5:$S$500,0))&amp;"",""))</f>
        <v/>
      </c>
      <c r="I204" s="0" t="str">
        <f aca="false">IF($A204="","",IFERROR(INDEX(Equipment!$K$5:$K$500,MATCH($A204,Equipment!$S$5:$S$500,0))&amp;"",""))</f>
        <v/>
      </c>
      <c r="J204" s="0" t="str">
        <f aca="false">IF($A204="","",IFERROR(INDEX(Equipment!$L$5:$L$500,MATCH($A204,Equipment!$S$5:$S$500,0))&amp;"",""))</f>
        <v/>
      </c>
      <c r="K204" s="0" t="str">
        <f aca="false">IF($A204="","",IFERROR(INDEX(Equipment!$Q$5:$Q$500,MATCH($A204,Equipment!$S$5:$S$500,0))&amp;"",""))</f>
        <v/>
      </c>
    </row>
    <row r="205" customFormat="false" ht="15" hidden="false" customHeight="false" outlineLevel="0" collapsed="false">
      <c r="A205" s="0" t="str">
        <f aca="false">IF(197&gt;$C$6,"",197)</f>
        <v/>
      </c>
      <c r="B205" s="0" t="str">
        <f aca="false">IF($A205="","",IFERROR(INDEX(Equipment!$A$5:$A$500,MATCH($A205,Equipment!$S$5:$S$500,0))&amp;"",""))</f>
        <v/>
      </c>
      <c r="C205" s="0" t="str">
        <f aca="false">IF($A205="","",IFERROR(INDEX(Equipment!$B$5:$B$500,MATCH($A205,Equipment!$S$5:$S$500,0))&amp;"",""))</f>
        <v/>
      </c>
      <c r="D205" s="0" t="str">
        <f aca="false">IF($A205="","",IFERROR(INDEX(Equipment!$E$5:$E$500,MATCH($A205,Equipment!$S$5:$S$500,0))&amp;"",""))</f>
        <v/>
      </c>
      <c r="E205" s="0" t="str">
        <f aca="false">IF($A205="","",IFERROR(INDEX(Equipment!$F$5:$F$500,MATCH($A205,Equipment!$S$5:$S$500,0))&amp;"",""))</f>
        <v/>
      </c>
      <c r="F205" s="0" t="str">
        <f aca="false">IF($A205="","",IFERROR(INDEX(Equipment!$G$5:$G$500,MATCH($A205,Equipment!$S$5:$S$500,0))&amp;"",""))</f>
        <v/>
      </c>
      <c r="G205" s="0" t="str">
        <f aca="false">IF($A205="","",IFERROR(INDEX(Equipment!$H$5:$H$500,MATCH($A205,Equipment!$S$5:$S$500,0))&amp;"",""))</f>
        <v/>
      </c>
      <c r="H205" s="0" t="str">
        <f aca="false">IF($A205="","",IFERROR(INDEX(Equipment!$J$5:$J$500,MATCH($A205,Equipment!$S$5:$S$500,0))&amp;"",""))</f>
        <v/>
      </c>
      <c r="I205" s="0" t="str">
        <f aca="false">IF($A205="","",IFERROR(INDEX(Equipment!$K$5:$K$500,MATCH($A205,Equipment!$S$5:$S$500,0))&amp;"",""))</f>
        <v/>
      </c>
      <c r="J205" s="0" t="str">
        <f aca="false">IF($A205="","",IFERROR(INDEX(Equipment!$L$5:$L$500,MATCH($A205,Equipment!$S$5:$S$500,0))&amp;"",""))</f>
        <v/>
      </c>
      <c r="K205" s="0" t="str">
        <f aca="false">IF($A205="","",IFERROR(INDEX(Equipment!$Q$5:$Q$500,MATCH($A205,Equipment!$S$5:$S$500,0))&amp;"",""))</f>
        <v/>
      </c>
    </row>
    <row r="206" customFormat="false" ht="15" hidden="false" customHeight="false" outlineLevel="0" collapsed="false">
      <c r="A206" s="0" t="str">
        <f aca="false">IF(198&gt;$C$6,"",198)</f>
        <v/>
      </c>
      <c r="B206" s="0" t="str">
        <f aca="false">IF($A206="","",IFERROR(INDEX(Equipment!$A$5:$A$500,MATCH($A206,Equipment!$S$5:$S$500,0))&amp;"",""))</f>
        <v/>
      </c>
      <c r="C206" s="0" t="str">
        <f aca="false">IF($A206="","",IFERROR(INDEX(Equipment!$B$5:$B$500,MATCH($A206,Equipment!$S$5:$S$500,0))&amp;"",""))</f>
        <v/>
      </c>
      <c r="D206" s="0" t="str">
        <f aca="false">IF($A206="","",IFERROR(INDEX(Equipment!$E$5:$E$500,MATCH($A206,Equipment!$S$5:$S$500,0))&amp;"",""))</f>
        <v/>
      </c>
      <c r="E206" s="0" t="str">
        <f aca="false">IF($A206="","",IFERROR(INDEX(Equipment!$F$5:$F$500,MATCH($A206,Equipment!$S$5:$S$500,0))&amp;"",""))</f>
        <v/>
      </c>
      <c r="F206" s="0" t="str">
        <f aca="false">IF($A206="","",IFERROR(INDEX(Equipment!$G$5:$G$500,MATCH($A206,Equipment!$S$5:$S$500,0))&amp;"",""))</f>
        <v/>
      </c>
      <c r="G206" s="0" t="str">
        <f aca="false">IF($A206="","",IFERROR(INDEX(Equipment!$H$5:$H$500,MATCH($A206,Equipment!$S$5:$S$500,0))&amp;"",""))</f>
        <v/>
      </c>
      <c r="H206" s="0" t="str">
        <f aca="false">IF($A206="","",IFERROR(INDEX(Equipment!$J$5:$J$500,MATCH($A206,Equipment!$S$5:$S$500,0))&amp;"",""))</f>
        <v/>
      </c>
      <c r="I206" s="0" t="str">
        <f aca="false">IF($A206="","",IFERROR(INDEX(Equipment!$K$5:$K$500,MATCH($A206,Equipment!$S$5:$S$500,0))&amp;"",""))</f>
        <v/>
      </c>
      <c r="J206" s="0" t="str">
        <f aca="false">IF($A206="","",IFERROR(INDEX(Equipment!$L$5:$L$500,MATCH($A206,Equipment!$S$5:$S$500,0))&amp;"",""))</f>
        <v/>
      </c>
      <c r="K206" s="0" t="str">
        <f aca="false">IF($A206="","",IFERROR(INDEX(Equipment!$Q$5:$Q$500,MATCH($A206,Equipment!$S$5:$S$500,0))&amp;"",""))</f>
        <v/>
      </c>
    </row>
    <row r="207" customFormat="false" ht="15" hidden="false" customHeight="false" outlineLevel="0" collapsed="false">
      <c r="A207" s="0" t="str">
        <f aca="false">IF(199&gt;$C$6,"",199)</f>
        <v/>
      </c>
      <c r="B207" s="0" t="str">
        <f aca="false">IF($A207="","",IFERROR(INDEX(Equipment!$A$5:$A$500,MATCH($A207,Equipment!$S$5:$S$500,0))&amp;"",""))</f>
        <v/>
      </c>
      <c r="C207" s="0" t="str">
        <f aca="false">IF($A207="","",IFERROR(INDEX(Equipment!$B$5:$B$500,MATCH($A207,Equipment!$S$5:$S$500,0))&amp;"",""))</f>
        <v/>
      </c>
      <c r="D207" s="0" t="str">
        <f aca="false">IF($A207="","",IFERROR(INDEX(Equipment!$E$5:$E$500,MATCH($A207,Equipment!$S$5:$S$500,0))&amp;"",""))</f>
        <v/>
      </c>
      <c r="E207" s="0" t="str">
        <f aca="false">IF($A207="","",IFERROR(INDEX(Equipment!$F$5:$F$500,MATCH($A207,Equipment!$S$5:$S$500,0))&amp;"",""))</f>
        <v/>
      </c>
      <c r="F207" s="0" t="str">
        <f aca="false">IF($A207="","",IFERROR(INDEX(Equipment!$G$5:$G$500,MATCH($A207,Equipment!$S$5:$S$500,0))&amp;"",""))</f>
        <v/>
      </c>
      <c r="G207" s="0" t="str">
        <f aca="false">IF($A207="","",IFERROR(INDEX(Equipment!$H$5:$H$500,MATCH($A207,Equipment!$S$5:$S$500,0))&amp;"",""))</f>
        <v/>
      </c>
      <c r="H207" s="0" t="str">
        <f aca="false">IF($A207="","",IFERROR(INDEX(Equipment!$J$5:$J$500,MATCH($A207,Equipment!$S$5:$S$500,0))&amp;"",""))</f>
        <v/>
      </c>
      <c r="I207" s="0" t="str">
        <f aca="false">IF($A207="","",IFERROR(INDEX(Equipment!$K$5:$K$500,MATCH($A207,Equipment!$S$5:$S$500,0))&amp;"",""))</f>
        <v/>
      </c>
      <c r="J207" s="0" t="str">
        <f aca="false">IF($A207="","",IFERROR(INDEX(Equipment!$L$5:$L$500,MATCH($A207,Equipment!$S$5:$S$500,0))&amp;"",""))</f>
        <v/>
      </c>
      <c r="K207" s="0" t="str">
        <f aca="false">IF($A207="","",IFERROR(INDEX(Equipment!$Q$5:$Q$500,MATCH($A207,Equipment!$S$5:$S$500,0))&amp;"",""))</f>
        <v/>
      </c>
    </row>
    <row r="208" customFormat="false" ht="15" hidden="false" customHeight="false" outlineLevel="0" collapsed="false">
      <c r="A208" s="0" t="str">
        <f aca="false">IF(200&gt;$C$6,"",200)</f>
        <v/>
      </c>
      <c r="B208" s="0" t="str">
        <f aca="false">IF($A208="","",IFERROR(INDEX(Equipment!$A$5:$A$500,MATCH($A208,Equipment!$S$5:$S$500,0))&amp;"",""))</f>
        <v/>
      </c>
      <c r="C208" s="0" t="str">
        <f aca="false">IF($A208="","",IFERROR(INDEX(Equipment!$B$5:$B$500,MATCH($A208,Equipment!$S$5:$S$500,0))&amp;"",""))</f>
        <v/>
      </c>
      <c r="D208" s="0" t="str">
        <f aca="false">IF($A208="","",IFERROR(INDEX(Equipment!$E$5:$E$500,MATCH($A208,Equipment!$S$5:$S$500,0))&amp;"",""))</f>
        <v/>
      </c>
      <c r="E208" s="0" t="str">
        <f aca="false">IF($A208="","",IFERROR(INDEX(Equipment!$F$5:$F$500,MATCH($A208,Equipment!$S$5:$S$500,0))&amp;"",""))</f>
        <v/>
      </c>
      <c r="F208" s="0" t="str">
        <f aca="false">IF($A208="","",IFERROR(INDEX(Equipment!$G$5:$G$500,MATCH($A208,Equipment!$S$5:$S$500,0))&amp;"",""))</f>
        <v/>
      </c>
      <c r="G208" s="0" t="str">
        <f aca="false">IF($A208="","",IFERROR(INDEX(Equipment!$H$5:$H$500,MATCH($A208,Equipment!$S$5:$S$500,0))&amp;"",""))</f>
        <v/>
      </c>
      <c r="H208" s="0" t="str">
        <f aca="false">IF($A208="","",IFERROR(INDEX(Equipment!$J$5:$J$500,MATCH($A208,Equipment!$S$5:$S$500,0))&amp;"",""))</f>
        <v/>
      </c>
      <c r="I208" s="0" t="str">
        <f aca="false">IF($A208="","",IFERROR(INDEX(Equipment!$K$5:$K$500,MATCH($A208,Equipment!$S$5:$S$500,0))&amp;"",""))</f>
        <v/>
      </c>
      <c r="J208" s="0" t="str">
        <f aca="false">IF($A208="","",IFERROR(INDEX(Equipment!$L$5:$L$500,MATCH($A208,Equipment!$S$5:$S$500,0))&amp;"",""))</f>
        <v/>
      </c>
      <c r="K208" s="0" t="str">
        <f aca="false">IF($A208="","",IFERROR(INDEX(Equipment!$Q$5:$Q$500,MATCH($A208,Equipment!$S$5:$S$500,0))&amp;"",""))</f>
        <v/>
      </c>
    </row>
  </sheetData>
  <dataValidations count="2">
    <dataValidation allowBlank="true" error="Pick a value from the Find by list (sheet Lists)." errorStyle="stop" errorTitle="Not in list" operator="between" showDropDown="false" showErrorMessage="true" showInputMessage="false" sqref="C4" type="list">
      <formula1>Lists!$K$2:$K$30</formula1>
      <formula2>0</formula2>
    </dataValidation>
    <dataValidation allowBlank="true" error="Pick a value from the values list (sheet Lists)." errorStyle="stop" errorTitle="Not in list" operator="between" showDropDown="false" showErrorMessage="true" showInputMessage="false" sqref="C5" type="list">
      <formula1>CHOOSE(MATCH($C$4,Lists!$K$2:$K$7,0),Lists!$A$2:$A$30,Lists!$C$2:$C$30,Containers!$A$5:$A$60,Vehicles!$A$5:$A$60,Lists!$B$2:$B$30,Lists!$D$2:$D$30)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3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100</v>
      </c>
    </row>
    <row r="4" customFormat="false" ht="15" hidden="false" customHeight="false" outlineLevel="0" collapsed="false">
      <c r="B4" s="3" t="s">
        <v>101</v>
      </c>
      <c r="C4" s="9" t="s">
        <v>102</v>
      </c>
    </row>
    <row r="5" customFormat="false" ht="15" hidden="false" customHeight="false" outlineLevel="0" collapsed="false">
      <c r="B5" s="3" t="s">
        <v>103</v>
      </c>
      <c r="C5" s="0" t="str">
        <f aca="false">IFERROR(IFERROR(VLOOKUP($C$4,Containers!$A$5:$P$60,2,FALSE()),VLOOKUP($C$4,Vehicles!$A$5:$P$60,2,FALSE()))&amp;"","")</f>
        <v>Tricon</v>
      </c>
    </row>
    <row r="6" customFormat="false" ht="15" hidden="false" customHeight="false" outlineLevel="0" collapsed="false">
      <c r="B6" s="3" t="s">
        <v>104</v>
      </c>
      <c r="C6" s="0" t="str">
        <f aca="false">IFERROR(IFERROR(VLOOKUP($C$4,Containers!$A$5:$P$60,3,FALSE()),VLOOKUP($C$4,Vehicles!$A$5:$P$60,3,FALSE()))&amp;"","")</f>
        <v>MSKU3530829</v>
      </c>
    </row>
    <row r="7" customFormat="false" ht="15" hidden="false" customHeight="false" outlineLevel="0" collapsed="false">
      <c r="B7" s="3" t="s">
        <v>28</v>
      </c>
      <c r="C7" s="0" t="str">
        <f aca="false">IFERROR(IFERROR(VLOOKUP($C$4,Containers!$A$5:$P$60,6,FALSE()),VLOOKUP($C$4,Vehicles!$A$5:$P$60,6,FALSE()))&amp;"","")</f>
        <v>Site North</v>
      </c>
    </row>
    <row r="8" customFormat="false" ht="15" hidden="false" customHeight="false" outlineLevel="0" collapsed="false">
      <c r="B8" s="3" t="s">
        <v>95</v>
      </c>
      <c r="C8" s="0" t="str">
        <f aca="false">IFERROR(IFERROR(VLOOKUP($C$4,Containers!$A$5:$P$60,7,FALSE()),VLOOKUP($C$4,Vehicles!$A$5:$P$60,7,FALSE()))&amp;"","")</f>
        <v>J. Alvarez</v>
      </c>
    </row>
    <row r="9" customFormat="false" ht="15" hidden="false" customHeight="false" outlineLevel="0" collapsed="false">
      <c r="B9" s="3" t="s">
        <v>105</v>
      </c>
      <c r="C9" s="12" t="n">
        <f aca="false">IFERROR(IFERROR(VLOOKUP($C$4,Containers!$A$5:$P$60,8,FALSE()),VLOOKUP($C$4,Vehicles!$A$5:$P$60,8,FALSE())),"")</f>
        <v>46318</v>
      </c>
    </row>
    <row r="10" customFormat="false" ht="15" hidden="false" customHeight="false" outlineLevel="0" collapsed="false">
      <c r="B10" s="3" t="s">
        <v>26</v>
      </c>
      <c r="C10" s="10" t="n">
        <f aca="false">MAX(Equipment!$T$5:$T$500)</f>
        <v>3</v>
      </c>
    </row>
    <row r="12" customFormat="false" ht="15" hidden="false" customHeight="false" outlineLevel="0" collapsed="false">
      <c r="A12" s="6" t="s">
        <v>92</v>
      </c>
      <c r="B12" s="6" t="s">
        <v>93</v>
      </c>
      <c r="C12" s="6" t="s">
        <v>94</v>
      </c>
      <c r="D12" s="6" t="s">
        <v>106</v>
      </c>
      <c r="E12" s="6" t="s">
        <v>95</v>
      </c>
      <c r="F12" s="6" t="s">
        <v>28</v>
      </c>
      <c r="G12" s="6" t="s">
        <v>99</v>
      </c>
      <c r="H12" s="6" t="s">
        <v>107</v>
      </c>
    </row>
    <row r="13" customFormat="false" ht="15" hidden="false" customHeight="false" outlineLevel="0" collapsed="false">
      <c r="A13" s="7" t="n">
        <f aca="false">IF(1&gt;$C$10,"",1)</f>
        <v>1</v>
      </c>
      <c r="B13" s="7" t="str">
        <f aca="false">IF($A13="","",IFERROR(INDEX(Equipment!$A$5:$A$500,MATCH($A13,Equipment!$T$5:$T$500,0))&amp;"",""))</f>
        <v>EQ-0007</v>
      </c>
      <c r="C13" s="7" t="str">
        <f aca="false">IF($A13="","",IFERROR(INDEX(Equipment!$B$5:$B$500,MATCH($A13,Equipment!$T$5:$T$500,0))&amp;"",""))</f>
        <v>Pump #1</v>
      </c>
      <c r="D13" s="7" t="str">
        <f aca="false">IF($A13="","",IFERROR(INDEX(Equipment!$D$5:$D$500,MATCH($A13,Equipment!$T$5:$T$500,0))&amp;"",""))</f>
        <v>SN-72966</v>
      </c>
      <c r="E13" s="7" t="str">
        <f aca="false">IF($A13="","",IFERROR(INDEX(Equipment!$E$5:$E$500,MATCH($A13,Equipment!$T$5:$T$500,0))&amp;"",""))</f>
        <v>L. Ramirez</v>
      </c>
      <c r="F13" s="7" t="str">
        <f aca="false">IF($A13="","",IFERROR(INDEX(Equipment!$L$5:$L$500,MATCH($A13,Equipment!$T$5:$T$500,0))&amp;"",""))</f>
        <v>Site West</v>
      </c>
      <c r="G13" s="7" t="str">
        <f aca="false">IF($A13="","",IFERROR(INDEX(Equipment!$Q$5:$Q$500,MATCH($A13,Equipment!$T$5:$T$500,0))&amp;"",""))</f>
        <v>Destination differs from container. Service overdue.</v>
      </c>
      <c r="H13" s="7"/>
    </row>
    <row r="14" customFormat="false" ht="15" hidden="false" customHeight="false" outlineLevel="0" collapsed="false">
      <c r="A14" s="7" t="n">
        <f aca="false">IF(2&gt;$C$10,"",2)</f>
        <v>2</v>
      </c>
      <c r="B14" s="7" t="str">
        <f aca="false">IF($A14="","",IFERROR(INDEX(Equipment!$A$5:$A$500,MATCH($A14,Equipment!$T$5:$T$500,0))&amp;"",""))</f>
        <v>EQ-0009</v>
      </c>
      <c r="C14" s="7" t="str">
        <f aca="false">IF($A14="","",IFERROR(INDEX(Equipment!$B$5:$B$500,MATCH($A14,Equipment!$T$5:$T$500,0))&amp;"",""))</f>
        <v>Battery bank #1</v>
      </c>
      <c r="D14" s="7" t="str">
        <f aca="false">IF($A14="","",IFERROR(INDEX(Equipment!$D$5:$D$500,MATCH($A14,Equipment!$T$5:$T$500,0))&amp;"",""))</f>
        <v>SN-79220</v>
      </c>
      <c r="E14" s="7" t="str">
        <f aca="false">IF($A14="","",IFERROR(INDEX(Equipment!$E$5:$E$500,MATCH($A14,Equipment!$T$5:$T$500,0))&amp;"",""))</f>
        <v>T. Nguyen</v>
      </c>
      <c r="F14" s="7" t="str">
        <f aca="false">IF($A14="","",IFERROR(INDEX(Equipment!$L$5:$L$500,MATCH($A14,Equipment!$T$5:$T$500,0))&amp;"",""))</f>
        <v>Site North</v>
      </c>
      <c r="G14" s="7" t="str">
        <f aca="false">IF($A14="","",IFERROR(INDEX(Equipment!$Q$5:$Q$500,MATCH($A14,Equipment!$T$5:$T$500,0))&amp;"",""))</f>
        <v/>
      </c>
      <c r="H14" s="7"/>
    </row>
    <row r="15" customFormat="false" ht="15" hidden="false" customHeight="false" outlineLevel="0" collapsed="false">
      <c r="A15" s="7" t="n">
        <f aca="false">IF(3&gt;$C$10,"",3)</f>
        <v>3</v>
      </c>
      <c r="B15" s="7" t="str">
        <f aca="false">IF($A15="","",IFERROR(INDEX(Equipment!$A$5:$A$500,MATCH($A15,Equipment!$T$5:$T$500,0))&amp;"",""))</f>
        <v>EQ-0025</v>
      </c>
      <c r="C15" s="7" t="str">
        <f aca="false">IF($A15="","",IFERROR(INDEX(Equipment!$B$5:$B$500,MATCH($A15,Equipment!$T$5:$T$500,0))&amp;"",""))</f>
        <v>Generator #3</v>
      </c>
      <c r="D15" s="7" t="str">
        <f aca="false">IF($A15="","",IFERROR(INDEX(Equipment!$D$5:$D$500,MATCH($A15,Equipment!$T$5:$T$500,0))&amp;"",""))</f>
        <v>SN-67688</v>
      </c>
      <c r="E15" s="7" t="str">
        <f aca="false">IF($A15="","",IFERROR(INDEX(Equipment!$E$5:$E$500,MATCH($A15,Equipment!$T$5:$T$500,0))&amp;"",""))</f>
        <v>R. Patel</v>
      </c>
      <c r="F15" s="7" t="str">
        <f aca="false">IF($A15="","",IFERROR(INDEX(Equipment!$L$5:$L$500,MATCH($A15,Equipment!$T$5:$T$500,0))&amp;"",""))</f>
        <v>Site North</v>
      </c>
      <c r="G15" s="7" t="str">
        <f aca="false">IF($A15="","",IFERROR(INDEX(Equipment!$Q$5:$Q$500,MATCH($A15,Equipment!$T$5:$T$500,0))&amp;"",""))</f>
        <v>Service overdue.</v>
      </c>
      <c r="H15" s="7"/>
    </row>
    <row r="16" customFormat="false" ht="15" hidden="false" customHeight="false" outlineLevel="0" collapsed="false">
      <c r="A16" s="7" t="str">
        <f aca="false">IF(4&gt;$C$10,"",4)</f>
        <v/>
      </c>
      <c r="B16" s="7" t="str">
        <f aca="false">IF($A16="","",IFERROR(INDEX(Equipment!$A$5:$A$500,MATCH($A16,Equipment!$T$5:$T$500,0))&amp;"",""))</f>
        <v/>
      </c>
      <c r="C16" s="7" t="str">
        <f aca="false">IF($A16="","",IFERROR(INDEX(Equipment!$B$5:$B$500,MATCH($A16,Equipment!$T$5:$T$500,0))&amp;"",""))</f>
        <v/>
      </c>
      <c r="D16" s="7" t="str">
        <f aca="false">IF($A16="","",IFERROR(INDEX(Equipment!$D$5:$D$500,MATCH($A16,Equipment!$T$5:$T$500,0))&amp;"",""))</f>
        <v/>
      </c>
      <c r="E16" s="7" t="str">
        <f aca="false">IF($A16="","",IFERROR(INDEX(Equipment!$E$5:$E$500,MATCH($A16,Equipment!$T$5:$T$500,0))&amp;"",""))</f>
        <v/>
      </c>
      <c r="F16" s="7" t="str">
        <f aca="false">IF($A16="","",IFERROR(INDEX(Equipment!$L$5:$L$500,MATCH($A16,Equipment!$T$5:$T$500,0))&amp;"",""))</f>
        <v/>
      </c>
      <c r="G16" s="7" t="str">
        <f aca="false">IF($A16="","",IFERROR(INDEX(Equipment!$Q$5:$Q$500,MATCH($A16,Equipment!$T$5:$T$500,0))&amp;"",""))</f>
        <v/>
      </c>
      <c r="H16" s="7"/>
    </row>
    <row r="17" customFormat="false" ht="15" hidden="false" customHeight="false" outlineLevel="0" collapsed="false">
      <c r="A17" s="7" t="str">
        <f aca="false">IF(5&gt;$C$10,"",5)</f>
        <v/>
      </c>
      <c r="B17" s="7" t="str">
        <f aca="false">IF($A17="","",IFERROR(INDEX(Equipment!$A$5:$A$500,MATCH($A17,Equipment!$T$5:$T$500,0))&amp;"",""))</f>
        <v/>
      </c>
      <c r="C17" s="7" t="str">
        <f aca="false">IF($A17="","",IFERROR(INDEX(Equipment!$B$5:$B$500,MATCH($A17,Equipment!$T$5:$T$500,0))&amp;"",""))</f>
        <v/>
      </c>
      <c r="D17" s="7" t="str">
        <f aca="false">IF($A17="","",IFERROR(INDEX(Equipment!$D$5:$D$500,MATCH($A17,Equipment!$T$5:$T$500,0))&amp;"",""))</f>
        <v/>
      </c>
      <c r="E17" s="7" t="str">
        <f aca="false">IF($A17="","",IFERROR(INDEX(Equipment!$E$5:$E$500,MATCH($A17,Equipment!$T$5:$T$500,0))&amp;"",""))</f>
        <v/>
      </c>
      <c r="F17" s="7" t="str">
        <f aca="false">IF($A17="","",IFERROR(INDEX(Equipment!$L$5:$L$500,MATCH($A17,Equipment!$T$5:$T$500,0))&amp;"",""))</f>
        <v/>
      </c>
      <c r="G17" s="7" t="str">
        <f aca="false">IF($A17="","",IFERROR(INDEX(Equipment!$Q$5:$Q$500,MATCH($A17,Equipment!$T$5:$T$500,0))&amp;"",""))</f>
        <v/>
      </c>
      <c r="H17" s="7"/>
    </row>
    <row r="18" customFormat="false" ht="15" hidden="false" customHeight="false" outlineLevel="0" collapsed="false">
      <c r="A18" s="7" t="str">
        <f aca="false">IF(6&gt;$C$10,"",6)</f>
        <v/>
      </c>
      <c r="B18" s="7" t="str">
        <f aca="false">IF($A18="","",IFERROR(INDEX(Equipment!$A$5:$A$500,MATCH($A18,Equipment!$T$5:$T$500,0))&amp;"",""))</f>
        <v/>
      </c>
      <c r="C18" s="7" t="str">
        <f aca="false">IF($A18="","",IFERROR(INDEX(Equipment!$B$5:$B$500,MATCH($A18,Equipment!$T$5:$T$500,0))&amp;"",""))</f>
        <v/>
      </c>
      <c r="D18" s="7" t="str">
        <f aca="false">IF($A18="","",IFERROR(INDEX(Equipment!$D$5:$D$500,MATCH($A18,Equipment!$T$5:$T$500,0))&amp;"",""))</f>
        <v/>
      </c>
      <c r="E18" s="7" t="str">
        <f aca="false">IF($A18="","",IFERROR(INDEX(Equipment!$E$5:$E$500,MATCH($A18,Equipment!$T$5:$T$500,0))&amp;"",""))</f>
        <v/>
      </c>
      <c r="F18" s="7" t="str">
        <f aca="false">IF($A18="","",IFERROR(INDEX(Equipment!$L$5:$L$500,MATCH($A18,Equipment!$T$5:$T$500,0))&amp;"",""))</f>
        <v/>
      </c>
      <c r="G18" s="7" t="str">
        <f aca="false">IF($A18="","",IFERROR(INDEX(Equipment!$Q$5:$Q$500,MATCH($A18,Equipment!$T$5:$T$500,0))&amp;"",""))</f>
        <v/>
      </c>
      <c r="H18" s="7"/>
    </row>
    <row r="19" customFormat="false" ht="15" hidden="false" customHeight="false" outlineLevel="0" collapsed="false">
      <c r="A19" s="7" t="str">
        <f aca="false">IF(7&gt;$C$10,"",7)</f>
        <v/>
      </c>
      <c r="B19" s="7" t="str">
        <f aca="false">IF($A19="","",IFERROR(INDEX(Equipment!$A$5:$A$500,MATCH($A19,Equipment!$T$5:$T$500,0))&amp;"",""))</f>
        <v/>
      </c>
      <c r="C19" s="7" t="str">
        <f aca="false">IF($A19="","",IFERROR(INDEX(Equipment!$B$5:$B$500,MATCH($A19,Equipment!$T$5:$T$500,0))&amp;"",""))</f>
        <v/>
      </c>
      <c r="D19" s="7" t="str">
        <f aca="false">IF($A19="","",IFERROR(INDEX(Equipment!$D$5:$D$500,MATCH($A19,Equipment!$T$5:$T$500,0))&amp;"",""))</f>
        <v/>
      </c>
      <c r="E19" s="7" t="str">
        <f aca="false">IF($A19="","",IFERROR(INDEX(Equipment!$E$5:$E$500,MATCH($A19,Equipment!$T$5:$T$500,0))&amp;"",""))</f>
        <v/>
      </c>
      <c r="F19" s="7" t="str">
        <f aca="false">IF($A19="","",IFERROR(INDEX(Equipment!$L$5:$L$500,MATCH($A19,Equipment!$T$5:$T$500,0))&amp;"",""))</f>
        <v/>
      </c>
      <c r="G19" s="7" t="str">
        <f aca="false">IF($A19="","",IFERROR(INDEX(Equipment!$Q$5:$Q$500,MATCH($A19,Equipment!$T$5:$T$500,0))&amp;"",""))</f>
        <v/>
      </c>
      <c r="H19" s="7"/>
    </row>
    <row r="20" customFormat="false" ht="15" hidden="false" customHeight="false" outlineLevel="0" collapsed="false">
      <c r="A20" s="7" t="str">
        <f aca="false">IF(8&gt;$C$10,"",8)</f>
        <v/>
      </c>
      <c r="B20" s="7" t="str">
        <f aca="false">IF($A20="","",IFERROR(INDEX(Equipment!$A$5:$A$500,MATCH($A20,Equipment!$T$5:$T$500,0))&amp;"",""))</f>
        <v/>
      </c>
      <c r="C20" s="7" t="str">
        <f aca="false">IF($A20="","",IFERROR(INDEX(Equipment!$B$5:$B$500,MATCH($A20,Equipment!$T$5:$T$500,0))&amp;"",""))</f>
        <v/>
      </c>
      <c r="D20" s="7" t="str">
        <f aca="false">IF($A20="","",IFERROR(INDEX(Equipment!$D$5:$D$500,MATCH($A20,Equipment!$T$5:$T$500,0))&amp;"",""))</f>
        <v/>
      </c>
      <c r="E20" s="7" t="str">
        <f aca="false">IF($A20="","",IFERROR(INDEX(Equipment!$E$5:$E$500,MATCH($A20,Equipment!$T$5:$T$500,0))&amp;"",""))</f>
        <v/>
      </c>
      <c r="F20" s="7" t="str">
        <f aca="false">IF($A20="","",IFERROR(INDEX(Equipment!$L$5:$L$500,MATCH($A20,Equipment!$T$5:$T$500,0))&amp;"",""))</f>
        <v/>
      </c>
      <c r="G20" s="7" t="str">
        <f aca="false">IF($A20="","",IFERROR(INDEX(Equipment!$Q$5:$Q$500,MATCH($A20,Equipment!$T$5:$T$500,0))&amp;"",""))</f>
        <v/>
      </c>
      <c r="H20" s="7"/>
    </row>
    <row r="21" customFormat="false" ht="15" hidden="false" customHeight="false" outlineLevel="0" collapsed="false">
      <c r="A21" s="7" t="str">
        <f aca="false">IF(9&gt;$C$10,"",9)</f>
        <v/>
      </c>
      <c r="B21" s="7" t="str">
        <f aca="false">IF($A21="","",IFERROR(INDEX(Equipment!$A$5:$A$500,MATCH($A21,Equipment!$T$5:$T$500,0))&amp;"",""))</f>
        <v/>
      </c>
      <c r="C21" s="7" t="str">
        <f aca="false">IF($A21="","",IFERROR(INDEX(Equipment!$B$5:$B$500,MATCH($A21,Equipment!$T$5:$T$500,0))&amp;"",""))</f>
        <v/>
      </c>
      <c r="D21" s="7" t="str">
        <f aca="false">IF($A21="","",IFERROR(INDEX(Equipment!$D$5:$D$500,MATCH($A21,Equipment!$T$5:$T$500,0))&amp;"",""))</f>
        <v/>
      </c>
      <c r="E21" s="7" t="str">
        <f aca="false">IF($A21="","",IFERROR(INDEX(Equipment!$E$5:$E$500,MATCH($A21,Equipment!$T$5:$T$500,0))&amp;"",""))</f>
        <v/>
      </c>
      <c r="F21" s="7" t="str">
        <f aca="false">IF($A21="","",IFERROR(INDEX(Equipment!$L$5:$L$500,MATCH($A21,Equipment!$T$5:$T$500,0))&amp;"",""))</f>
        <v/>
      </c>
      <c r="G21" s="7" t="str">
        <f aca="false">IF($A21="","",IFERROR(INDEX(Equipment!$Q$5:$Q$500,MATCH($A21,Equipment!$T$5:$T$500,0))&amp;"",""))</f>
        <v/>
      </c>
      <c r="H21" s="7"/>
    </row>
    <row r="22" customFormat="false" ht="15" hidden="false" customHeight="false" outlineLevel="0" collapsed="false">
      <c r="A22" s="7" t="str">
        <f aca="false">IF(10&gt;$C$10,"",10)</f>
        <v/>
      </c>
      <c r="B22" s="7" t="str">
        <f aca="false">IF($A22="","",IFERROR(INDEX(Equipment!$A$5:$A$500,MATCH($A22,Equipment!$T$5:$T$500,0))&amp;"",""))</f>
        <v/>
      </c>
      <c r="C22" s="7" t="str">
        <f aca="false">IF($A22="","",IFERROR(INDEX(Equipment!$B$5:$B$500,MATCH($A22,Equipment!$T$5:$T$500,0))&amp;"",""))</f>
        <v/>
      </c>
      <c r="D22" s="7" t="str">
        <f aca="false">IF($A22="","",IFERROR(INDEX(Equipment!$D$5:$D$500,MATCH($A22,Equipment!$T$5:$T$500,0))&amp;"",""))</f>
        <v/>
      </c>
      <c r="E22" s="7" t="str">
        <f aca="false">IF($A22="","",IFERROR(INDEX(Equipment!$E$5:$E$500,MATCH($A22,Equipment!$T$5:$T$500,0))&amp;"",""))</f>
        <v/>
      </c>
      <c r="F22" s="7" t="str">
        <f aca="false">IF($A22="","",IFERROR(INDEX(Equipment!$L$5:$L$500,MATCH($A22,Equipment!$T$5:$T$500,0))&amp;"",""))</f>
        <v/>
      </c>
      <c r="G22" s="7" t="str">
        <f aca="false">IF($A22="","",IFERROR(INDEX(Equipment!$Q$5:$Q$500,MATCH($A22,Equipment!$T$5:$T$500,0))&amp;"",""))</f>
        <v/>
      </c>
      <c r="H22" s="7"/>
    </row>
    <row r="23" customFormat="false" ht="15" hidden="false" customHeight="false" outlineLevel="0" collapsed="false">
      <c r="A23" s="7" t="str">
        <f aca="false">IF(11&gt;$C$10,"",11)</f>
        <v/>
      </c>
      <c r="B23" s="7" t="str">
        <f aca="false">IF($A23="","",IFERROR(INDEX(Equipment!$A$5:$A$500,MATCH($A23,Equipment!$T$5:$T$500,0))&amp;"",""))</f>
        <v/>
      </c>
      <c r="C23" s="7" t="str">
        <f aca="false">IF($A23="","",IFERROR(INDEX(Equipment!$B$5:$B$500,MATCH($A23,Equipment!$T$5:$T$500,0))&amp;"",""))</f>
        <v/>
      </c>
      <c r="D23" s="7" t="str">
        <f aca="false">IF($A23="","",IFERROR(INDEX(Equipment!$D$5:$D$500,MATCH($A23,Equipment!$T$5:$T$500,0))&amp;"",""))</f>
        <v/>
      </c>
      <c r="E23" s="7" t="str">
        <f aca="false">IF($A23="","",IFERROR(INDEX(Equipment!$E$5:$E$500,MATCH($A23,Equipment!$T$5:$T$500,0))&amp;"",""))</f>
        <v/>
      </c>
      <c r="F23" s="7" t="str">
        <f aca="false">IF($A23="","",IFERROR(INDEX(Equipment!$L$5:$L$500,MATCH($A23,Equipment!$T$5:$T$500,0))&amp;"",""))</f>
        <v/>
      </c>
      <c r="G23" s="7" t="str">
        <f aca="false">IF($A23="","",IFERROR(INDEX(Equipment!$Q$5:$Q$500,MATCH($A23,Equipment!$T$5:$T$500,0))&amp;"",""))</f>
        <v/>
      </c>
      <c r="H23" s="7"/>
    </row>
    <row r="24" customFormat="false" ht="15" hidden="false" customHeight="false" outlineLevel="0" collapsed="false">
      <c r="A24" s="7" t="str">
        <f aca="false">IF(12&gt;$C$10,"",12)</f>
        <v/>
      </c>
      <c r="B24" s="7" t="str">
        <f aca="false">IF($A24="","",IFERROR(INDEX(Equipment!$A$5:$A$500,MATCH($A24,Equipment!$T$5:$T$500,0))&amp;"",""))</f>
        <v/>
      </c>
      <c r="C24" s="7" t="str">
        <f aca="false">IF($A24="","",IFERROR(INDEX(Equipment!$B$5:$B$500,MATCH($A24,Equipment!$T$5:$T$500,0))&amp;"",""))</f>
        <v/>
      </c>
      <c r="D24" s="7" t="str">
        <f aca="false">IF($A24="","",IFERROR(INDEX(Equipment!$D$5:$D$500,MATCH($A24,Equipment!$T$5:$T$500,0))&amp;"",""))</f>
        <v/>
      </c>
      <c r="E24" s="7" t="str">
        <f aca="false">IF($A24="","",IFERROR(INDEX(Equipment!$E$5:$E$500,MATCH($A24,Equipment!$T$5:$T$500,0))&amp;"",""))</f>
        <v/>
      </c>
      <c r="F24" s="7" t="str">
        <f aca="false">IF($A24="","",IFERROR(INDEX(Equipment!$L$5:$L$500,MATCH($A24,Equipment!$T$5:$T$500,0))&amp;"",""))</f>
        <v/>
      </c>
      <c r="G24" s="7" t="str">
        <f aca="false">IF($A24="","",IFERROR(INDEX(Equipment!$Q$5:$Q$500,MATCH($A24,Equipment!$T$5:$T$500,0))&amp;"",""))</f>
        <v/>
      </c>
      <c r="H24" s="7"/>
    </row>
    <row r="25" customFormat="false" ht="15" hidden="false" customHeight="false" outlineLevel="0" collapsed="false">
      <c r="A25" s="7" t="str">
        <f aca="false">IF(13&gt;$C$10,"",13)</f>
        <v/>
      </c>
      <c r="B25" s="7" t="str">
        <f aca="false">IF($A25="","",IFERROR(INDEX(Equipment!$A$5:$A$500,MATCH($A25,Equipment!$T$5:$T$500,0))&amp;"",""))</f>
        <v/>
      </c>
      <c r="C25" s="7" t="str">
        <f aca="false">IF($A25="","",IFERROR(INDEX(Equipment!$B$5:$B$500,MATCH($A25,Equipment!$T$5:$T$500,0))&amp;"",""))</f>
        <v/>
      </c>
      <c r="D25" s="7" t="str">
        <f aca="false">IF($A25="","",IFERROR(INDEX(Equipment!$D$5:$D$500,MATCH($A25,Equipment!$T$5:$T$500,0))&amp;"",""))</f>
        <v/>
      </c>
      <c r="E25" s="7" t="str">
        <f aca="false">IF($A25="","",IFERROR(INDEX(Equipment!$E$5:$E$500,MATCH($A25,Equipment!$T$5:$T$500,0))&amp;"",""))</f>
        <v/>
      </c>
      <c r="F25" s="7" t="str">
        <f aca="false">IF($A25="","",IFERROR(INDEX(Equipment!$L$5:$L$500,MATCH($A25,Equipment!$T$5:$T$500,0))&amp;"",""))</f>
        <v/>
      </c>
      <c r="G25" s="7" t="str">
        <f aca="false">IF($A25="","",IFERROR(INDEX(Equipment!$Q$5:$Q$500,MATCH($A25,Equipment!$T$5:$T$500,0))&amp;"",""))</f>
        <v/>
      </c>
      <c r="H25" s="7"/>
    </row>
    <row r="26" customFormat="false" ht="15" hidden="false" customHeight="false" outlineLevel="0" collapsed="false">
      <c r="A26" s="7" t="str">
        <f aca="false">IF(14&gt;$C$10,"",14)</f>
        <v/>
      </c>
      <c r="B26" s="7" t="str">
        <f aca="false">IF($A26="","",IFERROR(INDEX(Equipment!$A$5:$A$500,MATCH($A26,Equipment!$T$5:$T$500,0))&amp;"",""))</f>
        <v/>
      </c>
      <c r="C26" s="7" t="str">
        <f aca="false">IF($A26="","",IFERROR(INDEX(Equipment!$B$5:$B$500,MATCH($A26,Equipment!$T$5:$T$500,0))&amp;"",""))</f>
        <v/>
      </c>
      <c r="D26" s="7" t="str">
        <f aca="false">IF($A26="","",IFERROR(INDEX(Equipment!$D$5:$D$500,MATCH($A26,Equipment!$T$5:$T$500,0))&amp;"",""))</f>
        <v/>
      </c>
      <c r="E26" s="7" t="str">
        <f aca="false">IF($A26="","",IFERROR(INDEX(Equipment!$E$5:$E$500,MATCH($A26,Equipment!$T$5:$T$500,0))&amp;"",""))</f>
        <v/>
      </c>
      <c r="F26" s="7" t="str">
        <f aca="false">IF($A26="","",IFERROR(INDEX(Equipment!$L$5:$L$500,MATCH($A26,Equipment!$T$5:$T$500,0))&amp;"",""))</f>
        <v/>
      </c>
      <c r="G26" s="7" t="str">
        <f aca="false">IF($A26="","",IFERROR(INDEX(Equipment!$Q$5:$Q$500,MATCH($A26,Equipment!$T$5:$T$500,0))&amp;"",""))</f>
        <v/>
      </c>
      <c r="H26" s="7"/>
    </row>
    <row r="27" customFormat="false" ht="15" hidden="false" customHeight="false" outlineLevel="0" collapsed="false">
      <c r="A27" s="7" t="str">
        <f aca="false">IF(15&gt;$C$10,"",15)</f>
        <v/>
      </c>
      <c r="B27" s="7" t="str">
        <f aca="false">IF($A27="","",IFERROR(INDEX(Equipment!$A$5:$A$500,MATCH($A27,Equipment!$T$5:$T$500,0))&amp;"",""))</f>
        <v/>
      </c>
      <c r="C27" s="7" t="str">
        <f aca="false">IF($A27="","",IFERROR(INDEX(Equipment!$B$5:$B$500,MATCH($A27,Equipment!$T$5:$T$500,0))&amp;"",""))</f>
        <v/>
      </c>
      <c r="D27" s="7" t="str">
        <f aca="false">IF($A27="","",IFERROR(INDEX(Equipment!$D$5:$D$500,MATCH($A27,Equipment!$T$5:$T$500,0))&amp;"",""))</f>
        <v/>
      </c>
      <c r="E27" s="7" t="str">
        <f aca="false">IF($A27="","",IFERROR(INDEX(Equipment!$E$5:$E$500,MATCH($A27,Equipment!$T$5:$T$500,0))&amp;"",""))</f>
        <v/>
      </c>
      <c r="F27" s="7" t="str">
        <f aca="false">IF($A27="","",IFERROR(INDEX(Equipment!$L$5:$L$500,MATCH($A27,Equipment!$T$5:$T$500,0))&amp;"",""))</f>
        <v/>
      </c>
      <c r="G27" s="7" t="str">
        <f aca="false">IF($A27="","",IFERROR(INDEX(Equipment!$Q$5:$Q$500,MATCH($A27,Equipment!$T$5:$T$500,0))&amp;"",""))</f>
        <v/>
      </c>
      <c r="H27" s="7"/>
    </row>
    <row r="28" customFormat="false" ht="15" hidden="false" customHeight="false" outlineLevel="0" collapsed="false">
      <c r="A28" s="7" t="str">
        <f aca="false">IF(16&gt;$C$10,"",16)</f>
        <v/>
      </c>
      <c r="B28" s="7" t="str">
        <f aca="false">IF($A28="","",IFERROR(INDEX(Equipment!$A$5:$A$500,MATCH($A28,Equipment!$T$5:$T$500,0))&amp;"",""))</f>
        <v/>
      </c>
      <c r="C28" s="7" t="str">
        <f aca="false">IF($A28="","",IFERROR(INDEX(Equipment!$B$5:$B$500,MATCH($A28,Equipment!$T$5:$T$500,0))&amp;"",""))</f>
        <v/>
      </c>
      <c r="D28" s="7" t="str">
        <f aca="false">IF($A28="","",IFERROR(INDEX(Equipment!$D$5:$D$500,MATCH($A28,Equipment!$T$5:$T$500,0))&amp;"",""))</f>
        <v/>
      </c>
      <c r="E28" s="7" t="str">
        <f aca="false">IF($A28="","",IFERROR(INDEX(Equipment!$E$5:$E$500,MATCH($A28,Equipment!$T$5:$T$500,0))&amp;"",""))</f>
        <v/>
      </c>
      <c r="F28" s="7" t="str">
        <f aca="false">IF($A28="","",IFERROR(INDEX(Equipment!$L$5:$L$500,MATCH($A28,Equipment!$T$5:$T$500,0))&amp;"",""))</f>
        <v/>
      </c>
      <c r="G28" s="7" t="str">
        <f aca="false">IF($A28="","",IFERROR(INDEX(Equipment!$Q$5:$Q$500,MATCH($A28,Equipment!$T$5:$T$500,0))&amp;"",""))</f>
        <v/>
      </c>
      <c r="H28" s="7"/>
    </row>
    <row r="29" customFormat="false" ht="15" hidden="false" customHeight="false" outlineLevel="0" collapsed="false">
      <c r="A29" s="7" t="str">
        <f aca="false">IF(17&gt;$C$10,"",17)</f>
        <v/>
      </c>
      <c r="B29" s="7" t="str">
        <f aca="false">IF($A29="","",IFERROR(INDEX(Equipment!$A$5:$A$500,MATCH($A29,Equipment!$T$5:$T$500,0))&amp;"",""))</f>
        <v/>
      </c>
      <c r="C29" s="7" t="str">
        <f aca="false">IF($A29="","",IFERROR(INDEX(Equipment!$B$5:$B$500,MATCH($A29,Equipment!$T$5:$T$500,0))&amp;"",""))</f>
        <v/>
      </c>
      <c r="D29" s="7" t="str">
        <f aca="false">IF($A29="","",IFERROR(INDEX(Equipment!$D$5:$D$500,MATCH($A29,Equipment!$T$5:$T$500,0))&amp;"",""))</f>
        <v/>
      </c>
      <c r="E29" s="7" t="str">
        <f aca="false">IF($A29="","",IFERROR(INDEX(Equipment!$E$5:$E$500,MATCH($A29,Equipment!$T$5:$T$500,0))&amp;"",""))</f>
        <v/>
      </c>
      <c r="F29" s="7" t="str">
        <f aca="false">IF($A29="","",IFERROR(INDEX(Equipment!$L$5:$L$500,MATCH($A29,Equipment!$T$5:$T$500,0))&amp;"",""))</f>
        <v/>
      </c>
      <c r="G29" s="7" t="str">
        <f aca="false">IF($A29="","",IFERROR(INDEX(Equipment!$Q$5:$Q$500,MATCH($A29,Equipment!$T$5:$T$500,0))&amp;"",""))</f>
        <v/>
      </c>
      <c r="H29" s="7"/>
    </row>
    <row r="30" customFormat="false" ht="15" hidden="false" customHeight="false" outlineLevel="0" collapsed="false">
      <c r="A30" s="7" t="str">
        <f aca="false">IF(18&gt;$C$10,"",18)</f>
        <v/>
      </c>
      <c r="B30" s="7" t="str">
        <f aca="false">IF($A30="","",IFERROR(INDEX(Equipment!$A$5:$A$500,MATCH($A30,Equipment!$T$5:$T$500,0))&amp;"",""))</f>
        <v/>
      </c>
      <c r="C30" s="7" t="str">
        <f aca="false">IF($A30="","",IFERROR(INDEX(Equipment!$B$5:$B$500,MATCH($A30,Equipment!$T$5:$T$500,0))&amp;"",""))</f>
        <v/>
      </c>
      <c r="D30" s="7" t="str">
        <f aca="false">IF($A30="","",IFERROR(INDEX(Equipment!$D$5:$D$500,MATCH($A30,Equipment!$T$5:$T$500,0))&amp;"",""))</f>
        <v/>
      </c>
      <c r="E30" s="7" t="str">
        <f aca="false">IF($A30="","",IFERROR(INDEX(Equipment!$E$5:$E$500,MATCH($A30,Equipment!$T$5:$T$500,0))&amp;"",""))</f>
        <v/>
      </c>
      <c r="F30" s="7" t="str">
        <f aca="false">IF($A30="","",IFERROR(INDEX(Equipment!$L$5:$L$500,MATCH($A30,Equipment!$T$5:$T$500,0))&amp;"",""))</f>
        <v/>
      </c>
      <c r="G30" s="7" t="str">
        <f aca="false">IF($A30="","",IFERROR(INDEX(Equipment!$Q$5:$Q$500,MATCH($A30,Equipment!$T$5:$T$500,0))&amp;"",""))</f>
        <v/>
      </c>
      <c r="H30" s="7"/>
    </row>
    <row r="31" customFormat="false" ht="15" hidden="false" customHeight="false" outlineLevel="0" collapsed="false">
      <c r="A31" s="7" t="str">
        <f aca="false">IF(19&gt;$C$10,"",19)</f>
        <v/>
      </c>
      <c r="B31" s="7" t="str">
        <f aca="false">IF($A31="","",IFERROR(INDEX(Equipment!$A$5:$A$500,MATCH($A31,Equipment!$T$5:$T$500,0))&amp;"",""))</f>
        <v/>
      </c>
      <c r="C31" s="7" t="str">
        <f aca="false">IF($A31="","",IFERROR(INDEX(Equipment!$B$5:$B$500,MATCH($A31,Equipment!$T$5:$T$500,0))&amp;"",""))</f>
        <v/>
      </c>
      <c r="D31" s="7" t="str">
        <f aca="false">IF($A31="","",IFERROR(INDEX(Equipment!$D$5:$D$500,MATCH($A31,Equipment!$T$5:$T$500,0))&amp;"",""))</f>
        <v/>
      </c>
      <c r="E31" s="7" t="str">
        <f aca="false">IF($A31="","",IFERROR(INDEX(Equipment!$E$5:$E$500,MATCH($A31,Equipment!$T$5:$T$500,0))&amp;"",""))</f>
        <v/>
      </c>
      <c r="F31" s="7" t="str">
        <f aca="false">IF($A31="","",IFERROR(INDEX(Equipment!$L$5:$L$500,MATCH($A31,Equipment!$T$5:$T$500,0))&amp;"",""))</f>
        <v/>
      </c>
      <c r="G31" s="7" t="str">
        <f aca="false">IF($A31="","",IFERROR(INDEX(Equipment!$Q$5:$Q$500,MATCH($A31,Equipment!$T$5:$T$500,0))&amp;"",""))</f>
        <v/>
      </c>
      <c r="H31" s="7"/>
    </row>
    <row r="32" customFormat="false" ht="15" hidden="false" customHeight="false" outlineLevel="0" collapsed="false">
      <c r="A32" s="7" t="str">
        <f aca="false">IF(20&gt;$C$10,"",20)</f>
        <v/>
      </c>
      <c r="B32" s="7" t="str">
        <f aca="false">IF($A32="","",IFERROR(INDEX(Equipment!$A$5:$A$500,MATCH($A32,Equipment!$T$5:$T$500,0))&amp;"",""))</f>
        <v/>
      </c>
      <c r="C32" s="7" t="str">
        <f aca="false">IF($A32="","",IFERROR(INDEX(Equipment!$B$5:$B$500,MATCH($A32,Equipment!$T$5:$T$500,0))&amp;"",""))</f>
        <v/>
      </c>
      <c r="D32" s="7" t="str">
        <f aca="false">IF($A32="","",IFERROR(INDEX(Equipment!$D$5:$D$500,MATCH($A32,Equipment!$T$5:$T$500,0))&amp;"",""))</f>
        <v/>
      </c>
      <c r="E32" s="7" t="str">
        <f aca="false">IF($A32="","",IFERROR(INDEX(Equipment!$E$5:$E$500,MATCH($A32,Equipment!$T$5:$T$500,0))&amp;"",""))</f>
        <v/>
      </c>
      <c r="F32" s="7" t="str">
        <f aca="false">IF($A32="","",IFERROR(INDEX(Equipment!$L$5:$L$500,MATCH($A32,Equipment!$T$5:$T$500,0))&amp;"",""))</f>
        <v/>
      </c>
      <c r="G32" s="7" t="str">
        <f aca="false">IF($A32="","",IFERROR(INDEX(Equipment!$Q$5:$Q$500,MATCH($A32,Equipment!$T$5:$T$500,0))&amp;"",""))</f>
        <v/>
      </c>
      <c r="H32" s="7"/>
    </row>
    <row r="33" customFormat="false" ht="15" hidden="false" customHeight="false" outlineLevel="0" collapsed="false">
      <c r="A33" s="7" t="str">
        <f aca="false">IF(21&gt;$C$10,"",21)</f>
        <v/>
      </c>
      <c r="B33" s="7" t="str">
        <f aca="false">IF($A33="","",IFERROR(INDEX(Equipment!$A$5:$A$500,MATCH($A33,Equipment!$T$5:$T$500,0))&amp;"",""))</f>
        <v/>
      </c>
      <c r="C33" s="7" t="str">
        <f aca="false">IF($A33="","",IFERROR(INDEX(Equipment!$B$5:$B$500,MATCH($A33,Equipment!$T$5:$T$500,0))&amp;"",""))</f>
        <v/>
      </c>
      <c r="D33" s="7" t="str">
        <f aca="false">IF($A33="","",IFERROR(INDEX(Equipment!$D$5:$D$500,MATCH($A33,Equipment!$T$5:$T$500,0))&amp;"",""))</f>
        <v/>
      </c>
      <c r="E33" s="7" t="str">
        <f aca="false">IF($A33="","",IFERROR(INDEX(Equipment!$E$5:$E$500,MATCH($A33,Equipment!$T$5:$T$500,0))&amp;"",""))</f>
        <v/>
      </c>
      <c r="F33" s="7" t="str">
        <f aca="false">IF($A33="","",IFERROR(INDEX(Equipment!$L$5:$L$500,MATCH($A33,Equipment!$T$5:$T$500,0))&amp;"",""))</f>
        <v/>
      </c>
      <c r="G33" s="7" t="str">
        <f aca="false">IF($A33="","",IFERROR(INDEX(Equipment!$Q$5:$Q$500,MATCH($A33,Equipment!$T$5:$T$500,0))&amp;"",""))</f>
        <v/>
      </c>
      <c r="H33" s="7"/>
    </row>
    <row r="34" customFormat="false" ht="15" hidden="false" customHeight="false" outlineLevel="0" collapsed="false">
      <c r="A34" s="7" t="str">
        <f aca="false">IF(22&gt;$C$10,"",22)</f>
        <v/>
      </c>
      <c r="B34" s="7" t="str">
        <f aca="false">IF($A34="","",IFERROR(INDEX(Equipment!$A$5:$A$500,MATCH($A34,Equipment!$T$5:$T$500,0))&amp;"",""))</f>
        <v/>
      </c>
      <c r="C34" s="7" t="str">
        <f aca="false">IF($A34="","",IFERROR(INDEX(Equipment!$B$5:$B$500,MATCH($A34,Equipment!$T$5:$T$500,0))&amp;"",""))</f>
        <v/>
      </c>
      <c r="D34" s="7" t="str">
        <f aca="false">IF($A34="","",IFERROR(INDEX(Equipment!$D$5:$D$500,MATCH($A34,Equipment!$T$5:$T$500,0))&amp;"",""))</f>
        <v/>
      </c>
      <c r="E34" s="7" t="str">
        <f aca="false">IF($A34="","",IFERROR(INDEX(Equipment!$E$5:$E$500,MATCH($A34,Equipment!$T$5:$T$500,0))&amp;"",""))</f>
        <v/>
      </c>
      <c r="F34" s="7" t="str">
        <f aca="false">IF($A34="","",IFERROR(INDEX(Equipment!$L$5:$L$500,MATCH($A34,Equipment!$T$5:$T$500,0))&amp;"",""))</f>
        <v/>
      </c>
      <c r="G34" s="7" t="str">
        <f aca="false">IF($A34="","",IFERROR(INDEX(Equipment!$Q$5:$Q$500,MATCH($A34,Equipment!$T$5:$T$500,0))&amp;"",""))</f>
        <v/>
      </c>
      <c r="H34" s="7"/>
    </row>
    <row r="35" customFormat="false" ht="15" hidden="false" customHeight="false" outlineLevel="0" collapsed="false">
      <c r="A35" s="7" t="str">
        <f aca="false">IF(23&gt;$C$10,"",23)</f>
        <v/>
      </c>
      <c r="B35" s="7" t="str">
        <f aca="false">IF($A35="","",IFERROR(INDEX(Equipment!$A$5:$A$500,MATCH($A35,Equipment!$T$5:$T$500,0))&amp;"",""))</f>
        <v/>
      </c>
      <c r="C35" s="7" t="str">
        <f aca="false">IF($A35="","",IFERROR(INDEX(Equipment!$B$5:$B$500,MATCH($A35,Equipment!$T$5:$T$500,0))&amp;"",""))</f>
        <v/>
      </c>
      <c r="D35" s="7" t="str">
        <f aca="false">IF($A35="","",IFERROR(INDEX(Equipment!$D$5:$D$500,MATCH($A35,Equipment!$T$5:$T$500,0))&amp;"",""))</f>
        <v/>
      </c>
      <c r="E35" s="7" t="str">
        <f aca="false">IF($A35="","",IFERROR(INDEX(Equipment!$E$5:$E$500,MATCH($A35,Equipment!$T$5:$T$500,0))&amp;"",""))</f>
        <v/>
      </c>
      <c r="F35" s="7" t="str">
        <f aca="false">IF($A35="","",IFERROR(INDEX(Equipment!$L$5:$L$500,MATCH($A35,Equipment!$T$5:$T$500,0))&amp;"",""))</f>
        <v/>
      </c>
      <c r="G35" s="7" t="str">
        <f aca="false">IF($A35="","",IFERROR(INDEX(Equipment!$Q$5:$Q$500,MATCH($A35,Equipment!$T$5:$T$500,0))&amp;"",""))</f>
        <v/>
      </c>
      <c r="H35" s="7"/>
    </row>
    <row r="36" customFormat="false" ht="15" hidden="false" customHeight="false" outlineLevel="0" collapsed="false">
      <c r="A36" s="7" t="str">
        <f aca="false">IF(24&gt;$C$10,"",24)</f>
        <v/>
      </c>
      <c r="B36" s="7" t="str">
        <f aca="false">IF($A36="","",IFERROR(INDEX(Equipment!$A$5:$A$500,MATCH($A36,Equipment!$T$5:$T$500,0))&amp;"",""))</f>
        <v/>
      </c>
      <c r="C36" s="7" t="str">
        <f aca="false">IF($A36="","",IFERROR(INDEX(Equipment!$B$5:$B$500,MATCH($A36,Equipment!$T$5:$T$500,0))&amp;"",""))</f>
        <v/>
      </c>
      <c r="D36" s="7" t="str">
        <f aca="false">IF($A36="","",IFERROR(INDEX(Equipment!$D$5:$D$500,MATCH($A36,Equipment!$T$5:$T$500,0))&amp;"",""))</f>
        <v/>
      </c>
      <c r="E36" s="7" t="str">
        <f aca="false">IF($A36="","",IFERROR(INDEX(Equipment!$E$5:$E$500,MATCH($A36,Equipment!$T$5:$T$500,0))&amp;"",""))</f>
        <v/>
      </c>
      <c r="F36" s="7" t="str">
        <f aca="false">IF($A36="","",IFERROR(INDEX(Equipment!$L$5:$L$500,MATCH($A36,Equipment!$T$5:$T$500,0))&amp;"",""))</f>
        <v/>
      </c>
      <c r="G36" s="7" t="str">
        <f aca="false">IF($A36="","",IFERROR(INDEX(Equipment!$Q$5:$Q$500,MATCH($A36,Equipment!$T$5:$T$500,0))&amp;"",""))</f>
        <v/>
      </c>
      <c r="H36" s="7"/>
    </row>
    <row r="37" customFormat="false" ht="15" hidden="false" customHeight="false" outlineLevel="0" collapsed="false">
      <c r="A37" s="7" t="str">
        <f aca="false">IF(25&gt;$C$10,"",25)</f>
        <v/>
      </c>
      <c r="B37" s="7" t="str">
        <f aca="false">IF($A37="","",IFERROR(INDEX(Equipment!$A$5:$A$500,MATCH($A37,Equipment!$T$5:$T$500,0))&amp;"",""))</f>
        <v/>
      </c>
      <c r="C37" s="7" t="str">
        <f aca="false">IF($A37="","",IFERROR(INDEX(Equipment!$B$5:$B$500,MATCH($A37,Equipment!$T$5:$T$500,0))&amp;"",""))</f>
        <v/>
      </c>
      <c r="D37" s="7" t="str">
        <f aca="false">IF($A37="","",IFERROR(INDEX(Equipment!$D$5:$D$500,MATCH($A37,Equipment!$T$5:$T$500,0))&amp;"",""))</f>
        <v/>
      </c>
      <c r="E37" s="7" t="str">
        <f aca="false">IF($A37="","",IFERROR(INDEX(Equipment!$E$5:$E$500,MATCH($A37,Equipment!$T$5:$T$500,0))&amp;"",""))</f>
        <v/>
      </c>
      <c r="F37" s="7" t="str">
        <f aca="false">IF($A37="","",IFERROR(INDEX(Equipment!$L$5:$L$500,MATCH($A37,Equipment!$T$5:$T$500,0))&amp;"",""))</f>
        <v/>
      </c>
      <c r="G37" s="7" t="str">
        <f aca="false">IF($A37="","",IFERROR(INDEX(Equipment!$Q$5:$Q$500,MATCH($A37,Equipment!$T$5:$T$500,0))&amp;"",""))</f>
        <v/>
      </c>
      <c r="H37" s="7"/>
    </row>
    <row r="38" customFormat="false" ht="15" hidden="false" customHeight="false" outlineLevel="0" collapsed="false">
      <c r="A38" s="7" t="str">
        <f aca="false">IF(26&gt;$C$10,"",26)</f>
        <v/>
      </c>
      <c r="B38" s="7" t="str">
        <f aca="false">IF($A38="","",IFERROR(INDEX(Equipment!$A$5:$A$500,MATCH($A38,Equipment!$T$5:$T$500,0))&amp;"",""))</f>
        <v/>
      </c>
      <c r="C38" s="7" t="str">
        <f aca="false">IF($A38="","",IFERROR(INDEX(Equipment!$B$5:$B$500,MATCH($A38,Equipment!$T$5:$T$500,0))&amp;"",""))</f>
        <v/>
      </c>
      <c r="D38" s="7" t="str">
        <f aca="false">IF($A38="","",IFERROR(INDEX(Equipment!$D$5:$D$500,MATCH($A38,Equipment!$T$5:$T$500,0))&amp;"",""))</f>
        <v/>
      </c>
      <c r="E38" s="7" t="str">
        <f aca="false">IF($A38="","",IFERROR(INDEX(Equipment!$E$5:$E$500,MATCH($A38,Equipment!$T$5:$T$500,0))&amp;"",""))</f>
        <v/>
      </c>
      <c r="F38" s="7" t="str">
        <f aca="false">IF($A38="","",IFERROR(INDEX(Equipment!$L$5:$L$500,MATCH($A38,Equipment!$T$5:$T$500,0))&amp;"",""))</f>
        <v/>
      </c>
      <c r="G38" s="7" t="str">
        <f aca="false">IF($A38="","",IFERROR(INDEX(Equipment!$Q$5:$Q$500,MATCH($A38,Equipment!$T$5:$T$500,0))&amp;"",""))</f>
        <v/>
      </c>
      <c r="H38" s="7"/>
    </row>
    <row r="39" customFormat="false" ht="15" hidden="false" customHeight="false" outlineLevel="0" collapsed="false">
      <c r="A39" s="7" t="str">
        <f aca="false">IF(27&gt;$C$10,"",27)</f>
        <v/>
      </c>
      <c r="B39" s="7" t="str">
        <f aca="false">IF($A39="","",IFERROR(INDEX(Equipment!$A$5:$A$500,MATCH($A39,Equipment!$T$5:$T$500,0))&amp;"",""))</f>
        <v/>
      </c>
      <c r="C39" s="7" t="str">
        <f aca="false">IF($A39="","",IFERROR(INDEX(Equipment!$B$5:$B$500,MATCH($A39,Equipment!$T$5:$T$500,0))&amp;"",""))</f>
        <v/>
      </c>
      <c r="D39" s="7" t="str">
        <f aca="false">IF($A39="","",IFERROR(INDEX(Equipment!$D$5:$D$500,MATCH($A39,Equipment!$T$5:$T$500,0))&amp;"",""))</f>
        <v/>
      </c>
      <c r="E39" s="7" t="str">
        <f aca="false">IF($A39="","",IFERROR(INDEX(Equipment!$E$5:$E$500,MATCH($A39,Equipment!$T$5:$T$500,0))&amp;"",""))</f>
        <v/>
      </c>
      <c r="F39" s="7" t="str">
        <f aca="false">IF($A39="","",IFERROR(INDEX(Equipment!$L$5:$L$500,MATCH($A39,Equipment!$T$5:$T$500,0))&amp;"",""))</f>
        <v/>
      </c>
      <c r="G39" s="7" t="str">
        <f aca="false">IF($A39="","",IFERROR(INDEX(Equipment!$Q$5:$Q$500,MATCH($A39,Equipment!$T$5:$T$500,0))&amp;"",""))</f>
        <v/>
      </c>
      <c r="H39" s="7"/>
    </row>
    <row r="40" customFormat="false" ht="15" hidden="false" customHeight="false" outlineLevel="0" collapsed="false">
      <c r="A40" s="7" t="str">
        <f aca="false">IF(28&gt;$C$10,"",28)</f>
        <v/>
      </c>
      <c r="B40" s="7" t="str">
        <f aca="false">IF($A40="","",IFERROR(INDEX(Equipment!$A$5:$A$500,MATCH($A40,Equipment!$T$5:$T$500,0))&amp;"",""))</f>
        <v/>
      </c>
      <c r="C40" s="7" t="str">
        <f aca="false">IF($A40="","",IFERROR(INDEX(Equipment!$B$5:$B$500,MATCH($A40,Equipment!$T$5:$T$500,0))&amp;"",""))</f>
        <v/>
      </c>
      <c r="D40" s="7" t="str">
        <f aca="false">IF($A40="","",IFERROR(INDEX(Equipment!$D$5:$D$500,MATCH($A40,Equipment!$T$5:$T$500,0))&amp;"",""))</f>
        <v/>
      </c>
      <c r="E40" s="7" t="str">
        <f aca="false">IF($A40="","",IFERROR(INDEX(Equipment!$E$5:$E$500,MATCH($A40,Equipment!$T$5:$T$500,0))&amp;"",""))</f>
        <v/>
      </c>
      <c r="F40" s="7" t="str">
        <f aca="false">IF($A40="","",IFERROR(INDEX(Equipment!$L$5:$L$500,MATCH($A40,Equipment!$T$5:$T$500,0))&amp;"",""))</f>
        <v/>
      </c>
      <c r="G40" s="7" t="str">
        <f aca="false">IF($A40="","",IFERROR(INDEX(Equipment!$Q$5:$Q$500,MATCH($A40,Equipment!$T$5:$T$500,0))&amp;"",""))</f>
        <v/>
      </c>
      <c r="H40" s="7"/>
    </row>
    <row r="41" customFormat="false" ht="15" hidden="false" customHeight="false" outlineLevel="0" collapsed="false">
      <c r="A41" s="7" t="str">
        <f aca="false">IF(29&gt;$C$10,"",29)</f>
        <v/>
      </c>
      <c r="B41" s="7" t="str">
        <f aca="false">IF($A41="","",IFERROR(INDEX(Equipment!$A$5:$A$500,MATCH($A41,Equipment!$T$5:$T$500,0))&amp;"",""))</f>
        <v/>
      </c>
      <c r="C41" s="7" t="str">
        <f aca="false">IF($A41="","",IFERROR(INDEX(Equipment!$B$5:$B$500,MATCH($A41,Equipment!$T$5:$T$500,0))&amp;"",""))</f>
        <v/>
      </c>
      <c r="D41" s="7" t="str">
        <f aca="false">IF($A41="","",IFERROR(INDEX(Equipment!$D$5:$D$500,MATCH($A41,Equipment!$T$5:$T$500,0))&amp;"",""))</f>
        <v/>
      </c>
      <c r="E41" s="7" t="str">
        <f aca="false">IF($A41="","",IFERROR(INDEX(Equipment!$E$5:$E$500,MATCH($A41,Equipment!$T$5:$T$500,0))&amp;"",""))</f>
        <v/>
      </c>
      <c r="F41" s="7" t="str">
        <f aca="false">IF($A41="","",IFERROR(INDEX(Equipment!$L$5:$L$500,MATCH($A41,Equipment!$T$5:$T$500,0))&amp;"",""))</f>
        <v/>
      </c>
      <c r="G41" s="7" t="str">
        <f aca="false">IF($A41="","",IFERROR(INDEX(Equipment!$Q$5:$Q$500,MATCH($A41,Equipment!$T$5:$T$500,0))&amp;"",""))</f>
        <v/>
      </c>
      <c r="H41" s="7"/>
    </row>
    <row r="42" customFormat="false" ht="15" hidden="false" customHeight="false" outlineLevel="0" collapsed="false">
      <c r="A42" s="7" t="str">
        <f aca="false">IF(30&gt;$C$10,"",30)</f>
        <v/>
      </c>
      <c r="B42" s="7" t="str">
        <f aca="false">IF($A42="","",IFERROR(INDEX(Equipment!$A$5:$A$500,MATCH($A42,Equipment!$T$5:$T$500,0))&amp;"",""))</f>
        <v/>
      </c>
      <c r="C42" s="7" t="str">
        <f aca="false">IF($A42="","",IFERROR(INDEX(Equipment!$B$5:$B$500,MATCH($A42,Equipment!$T$5:$T$500,0))&amp;"",""))</f>
        <v/>
      </c>
      <c r="D42" s="7" t="str">
        <f aca="false">IF($A42="","",IFERROR(INDEX(Equipment!$D$5:$D$500,MATCH($A42,Equipment!$T$5:$T$500,0))&amp;"",""))</f>
        <v/>
      </c>
      <c r="E42" s="7" t="str">
        <f aca="false">IF($A42="","",IFERROR(INDEX(Equipment!$E$5:$E$500,MATCH($A42,Equipment!$T$5:$T$500,0))&amp;"",""))</f>
        <v/>
      </c>
      <c r="F42" s="7" t="str">
        <f aca="false">IF($A42="","",IFERROR(INDEX(Equipment!$L$5:$L$500,MATCH($A42,Equipment!$T$5:$T$500,0))&amp;"",""))</f>
        <v/>
      </c>
      <c r="G42" s="7" t="str">
        <f aca="false">IF($A42="","",IFERROR(INDEX(Equipment!$Q$5:$Q$500,MATCH($A42,Equipment!$T$5:$T$500,0))&amp;"",""))</f>
        <v/>
      </c>
      <c r="H42" s="7"/>
    </row>
    <row r="43" customFormat="false" ht="15" hidden="false" customHeight="false" outlineLevel="0" collapsed="false">
      <c r="A43" s="7" t="str">
        <f aca="false">IF(31&gt;$C$10,"",31)</f>
        <v/>
      </c>
      <c r="B43" s="7" t="str">
        <f aca="false">IF($A43="","",IFERROR(INDEX(Equipment!$A$5:$A$500,MATCH($A43,Equipment!$T$5:$T$500,0))&amp;"",""))</f>
        <v/>
      </c>
      <c r="C43" s="7" t="str">
        <f aca="false">IF($A43="","",IFERROR(INDEX(Equipment!$B$5:$B$500,MATCH($A43,Equipment!$T$5:$T$500,0))&amp;"",""))</f>
        <v/>
      </c>
      <c r="D43" s="7" t="str">
        <f aca="false">IF($A43="","",IFERROR(INDEX(Equipment!$D$5:$D$500,MATCH($A43,Equipment!$T$5:$T$500,0))&amp;"",""))</f>
        <v/>
      </c>
      <c r="E43" s="7" t="str">
        <f aca="false">IF($A43="","",IFERROR(INDEX(Equipment!$E$5:$E$500,MATCH($A43,Equipment!$T$5:$T$500,0))&amp;"",""))</f>
        <v/>
      </c>
      <c r="F43" s="7" t="str">
        <f aca="false">IF($A43="","",IFERROR(INDEX(Equipment!$L$5:$L$500,MATCH($A43,Equipment!$T$5:$T$500,0))&amp;"",""))</f>
        <v/>
      </c>
      <c r="G43" s="7" t="str">
        <f aca="false">IF($A43="","",IFERROR(INDEX(Equipment!$Q$5:$Q$500,MATCH($A43,Equipment!$T$5:$T$500,0))&amp;"",""))</f>
        <v/>
      </c>
      <c r="H43" s="7"/>
    </row>
    <row r="44" customFormat="false" ht="15" hidden="false" customHeight="false" outlineLevel="0" collapsed="false">
      <c r="A44" s="7" t="str">
        <f aca="false">IF(32&gt;$C$10,"",32)</f>
        <v/>
      </c>
      <c r="B44" s="7" t="str">
        <f aca="false">IF($A44="","",IFERROR(INDEX(Equipment!$A$5:$A$500,MATCH($A44,Equipment!$T$5:$T$500,0))&amp;"",""))</f>
        <v/>
      </c>
      <c r="C44" s="7" t="str">
        <f aca="false">IF($A44="","",IFERROR(INDEX(Equipment!$B$5:$B$500,MATCH($A44,Equipment!$T$5:$T$500,0))&amp;"",""))</f>
        <v/>
      </c>
      <c r="D44" s="7" t="str">
        <f aca="false">IF($A44="","",IFERROR(INDEX(Equipment!$D$5:$D$500,MATCH($A44,Equipment!$T$5:$T$500,0))&amp;"",""))</f>
        <v/>
      </c>
      <c r="E44" s="7" t="str">
        <f aca="false">IF($A44="","",IFERROR(INDEX(Equipment!$E$5:$E$500,MATCH($A44,Equipment!$T$5:$T$500,0))&amp;"",""))</f>
        <v/>
      </c>
      <c r="F44" s="7" t="str">
        <f aca="false">IF($A44="","",IFERROR(INDEX(Equipment!$L$5:$L$500,MATCH($A44,Equipment!$T$5:$T$500,0))&amp;"",""))</f>
        <v/>
      </c>
      <c r="G44" s="7" t="str">
        <f aca="false">IF($A44="","",IFERROR(INDEX(Equipment!$Q$5:$Q$500,MATCH($A44,Equipment!$T$5:$T$500,0))&amp;"",""))</f>
        <v/>
      </c>
      <c r="H44" s="7"/>
    </row>
    <row r="45" customFormat="false" ht="15" hidden="false" customHeight="false" outlineLevel="0" collapsed="false">
      <c r="A45" s="7" t="str">
        <f aca="false">IF(33&gt;$C$10,"",33)</f>
        <v/>
      </c>
      <c r="B45" s="7" t="str">
        <f aca="false">IF($A45="","",IFERROR(INDEX(Equipment!$A$5:$A$500,MATCH($A45,Equipment!$T$5:$T$500,0))&amp;"",""))</f>
        <v/>
      </c>
      <c r="C45" s="7" t="str">
        <f aca="false">IF($A45="","",IFERROR(INDEX(Equipment!$B$5:$B$500,MATCH($A45,Equipment!$T$5:$T$500,0))&amp;"",""))</f>
        <v/>
      </c>
      <c r="D45" s="7" t="str">
        <f aca="false">IF($A45="","",IFERROR(INDEX(Equipment!$D$5:$D$500,MATCH($A45,Equipment!$T$5:$T$500,0))&amp;"",""))</f>
        <v/>
      </c>
      <c r="E45" s="7" t="str">
        <f aca="false">IF($A45="","",IFERROR(INDEX(Equipment!$E$5:$E$500,MATCH($A45,Equipment!$T$5:$T$500,0))&amp;"",""))</f>
        <v/>
      </c>
      <c r="F45" s="7" t="str">
        <f aca="false">IF($A45="","",IFERROR(INDEX(Equipment!$L$5:$L$500,MATCH($A45,Equipment!$T$5:$T$500,0))&amp;"",""))</f>
        <v/>
      </c>
      <c r="G45" s="7" t="str">
        <f aca="false">IF($A45="","",IFERROR(INDEX(Equipment!$Q$5:$Q$500,MATCH($A45,Equipment!$T$5:$T$500,0))&amp;"",""))</f>
        <v/>
      </c>
      <c r="H45" s="7"/>
    </row>
    <row r="46" customFormat="false" ht="15" hidden="false" customHeight="false" outlineLevel="0" collapsed="false">
      <c r="A46" s="7" t="str">
        <f aca="false">IF(34&gt;$C$10,"",34)</f>
        <v/>
      </c>
      <c r="B46" s="7" t="str">
        <f aca="false">IF($A46="","",IFERROR(INDEX(Equipment!$A$5:$A$500,MATCH($A46,Equipment!$T$5:$T$500,0))&amp;"",""))</f>
        <v/>
      </c>
      <c r="C46" s="7" t="str">
        <f aca="false">IF($A46="","",IFERROR(INDEX(Equipment!$B$5:$B$500,MATCH($A46,Equipment!$T$5:$T$500,0))&amp;"",""))</f>
        <v/>
      </c>
      <c r="D46" s="7" t="str">
        <f aca="false">IF($A46="","",IFERROR(INDEX(Equipment!$D$5:$D$500,MATCH($A46,Equipment!$T$5:$T$500,0))&amp;"",""))</f>
        <v/>
      </c>
      <c r="E46" s="7" t="str">
        <f aca="false">IF($A46="","",IFERROR(INDEX(Equipment!$E$5:$E$500,MATCH($A46,Equipment!$T$5:$T$500,0))&amp;"",""))</f>
        <v/>
      </c>
      <c r="F46" s="7" t="str">
        <f aca="false">IF($A46="","",IFERROR(INDEX(Equipment!$L$5:$L$500,MATCH($A46,Equipment!$T$5:$T$500,0))&amp;"",""))</f>
        <v/>
      </c>
      <c r="G46" s="7" t="str">
        <f aca="false">IF($A46="","",IFERROR(INDEX(Equipment!$Q$5:$Q$500,MATCH($A46,Equipment!$T$5:$T$500,0))&amp;"",""))</f>
        <v/>
      </c>
      <c r="H46" s="7"/>
    </row>
    <row r="47" customFormat="false" ht="15" hidden="false" customHeight="false" outlineLevel="0" collapsed="false">
      <c r="A47" s="7" t="str">
        <f aca="false">IF(35&gt;$C$10,"",35)</f>
        <v/>
      </c>
      <c r="B47" s="7" t="str">
        <f aca="false">IF($A47="","",IFERROR(INDEX(Equipment!$A$5:$A$500,MATCH($A47,Equipment!$T$5:$T$500,0))&amp;"",""))</f>
        <v/>
      </c>
      <c r="C47" s="7" t="str">
        <f aca="false">IF($A47="","",IFERROR(INDEX(Equipment!$B$5:$B$500,MATCH($A47,Equipment!$T$5:$T$500,0))&amp;"",""))</f>
        <v/>
      </c>
      <c r="D47" s="7" t="str">
        <f aca="false">IF($A47="","",IFERROR(INDEX(Equipment!$D$5:$D$500,MATCH($A47,Equipment!$T$5:$T$500,0))&amp;"",""))</f>
        <v/>
      </c>
      <c r="E47" s="7" t="str">
        <f aca="false">IF($A47="","",IFERROR(INDEX(Equipment!$E$5:$E$500,MATCH($A47,Equipment!$T$5:$T$500,0))&amp;"",""))</f>
        <v/>
      </c>
      <c r="F47" s="7" t="str">
        <f aca="false">IF($A47="","",IFERROR(INDEX(Equipment!$L$5:$L$500,MATCH($A47,Equipment!$T$5:$T$500,0))&amp;"",""))</f>
        <v/>
      </c>
      <c r="G47" s="7" t="str">
        <f aca="false">IF($A47="","",IFERROR(INDEX(Equipment!$Q$5:$Q$500,MATCH($A47,Equipment!$T$5:$T$500,0))&amp;"",""))</f>
        <v/>
      </c>
      <c r="H47" s="7"/>
    </row>
    <row r="48" customFormat="false" ht="15" hidden="false" customHeight="false" outlineLevel="0" collapsed="false">
      <c r="A48" s="7" t="str">
        <f aca="false">IF(36&gt;$C$10,"",36)</f>
        <v/>
      </c>
      <c r="B48" s="7" t="str">
        <f aca="false">IF($A48="","",IFERROR(INDEX(Equipment!$A$5:$A$500,MATCH($A48,Equipment!$T$5:$T$500,0))&amp;"",""))</f>
        <v/>
      </c>
      <c r="C48" s="7" t="str">
        <f aca="false">IF($A48="","",IFERROR(INDEX(Equipment!$B$5:$B$500,MATCH($A48,Equipment!$T$5:$T$500,0))&amp;"",""))</f>
        <v/>
      </c>
      <c r="D48" s="7" t="str">
        <f aca="false">IF($A48="","",IFERROR(INDEX(Equipment!$D$5:$D$500,MATCH($A48,Equipment!$T$5:$T$500,0))&amp;"",""))</f>
        <v/>
      </c>
      <c r="E48" s="7" t="str">
        <f aca="false">IF($A48="","",IFERROR(INDEX(Equipment!$E$5:$E$500,MATCH($A48,Equipment!$T$5:$T$500,0))&amp;"",""))</f>
        <v/>
      </c>
      <c r="F48" s="7" t="str">
        <f aca="false">IF($A48="","",IFERROR(INDEX(Equipment!$L$5:$L$500,MATCH($A48,Equipment!$T$5:$T$500,0))&amp;"",""))</f>
        <v/>
      </c>
      <c r="G48" s="7" t="str">
        <f aca="false">IF($A48="","",IFERROR(INDEX(Equipment!$Q$5:$Q$500,MATCH($A48,Equipment!$T$5:$T$500,0))&amp;"",""))</f>
        <v/>
      </c>
      <c r="H48" s="7"/>
    </row>
    <row r="49" customFormat="false" ht="15" hidden="false" customHeight="false" outlineLevel="0" collapsed="false">
      <c r="A49" s="7" t="str">
        <f aca="false">IF(37&gt;$C$10,"",37)</f>
        <v/>
      </c>
      <c r="B49" s="7" t="str">
        <f aca="false">IF($A49="","",IFERROR(INDEX(Equipment!$A$5:$A$500,MATCH($A49,Equipment!$T$5:$T$500,0))&amp;"",""))</f>
        <v/>
      </c>
      <c r="C49" s="7" t="str">
        <f aca="false">IF($A49="","",IFERROR(INDEX(Equipment!$B$5:$B$500,MATCH($A49,Equipment!$T$5:$T$500,0))&amp;"",""))</f>
        <v/>
      </c>
      <c r="D49" s="7" t="str">
        <f aca="false">IF($A49="","",IFERROR(INDEX(Equipment!$D$5:$D$500,MATCH($A49,Equipment!$T$5:$T$500,0))&amp;"",""))</f>
        <v/>
      </c>
      <c r="E49" s="7" t="str">
        <f aca="false">IF($A49="","",IFERROR(INDEX(Equipment!$E$5:$E$500,MATCH($A49,Equipment!$T$5:$T$500,0))&amp;"",""))</f>
        <v/>
      </c>
      <c r="F49" s="7" t="str">
        <f aca="false">IF($A49="","",IFERROR(INDEX(Equipment!$L$5:$L$500,MATCH($A49,Equipment!$T$5:$T$500,0))&amp;"",""))</f>
        <v/>
      </c>
      <c r="G49" s="7" t="str">
        <f aca="false">IF($A49="","",IFERROR(INDEX(Equipment!$Q$5:$Q$500,MATCH($A49,Equipment!$T$5:$T$500,0))&amp;"",""))</f>
        <v/>
      </c>
      <c r="H49" s="7"/>
    </row>
    <row r="50" customFormat="false" ht="15" hidden="false" customHeight="false" outlineLevel="0" collapsed="false">
      <c r="A50" s="7" t="str">
        <f aca="false">IF(38&gt;$C$10,"",38)</f>
        <v/>
      </c>
      <c r="B50" s="7" t="str">
        <f aca="false">IF($A50="","",IFERROR(INDEX(Equipment!$A$5:$A$500,MATCH($A50,Equipment!$T$5:$T$500,0))&amp;"",""))</f>
        <v/>
      </c>
      <c r="C50" s="7" t="str">
        <f aca="false">IF($A50="","",IFERROR(INDEX(Equipment!$B$5:$B$500,MATCH($A50,Equipment!$T$5:$T$500,0))&amp;"",""))</f>
        <v/>
      </c>
      <c r="D50" s="7" t="str">
        <f aca="false">IF($A50="","",IFERROR(INDEX(Equipment!$D$5:$D$500,MATCH($A50,Equipment!$T$5:$T$500,0))&amp;"",""))</f>
        <v/>
      </c>
      <c r="E50" s="7" t="str">
        <f aca="false">IF($A50="","",IFERROR(INDEX(Equipment!$E$5:$E$500,MATCH($A50,Equipment!$T$5:$T$500,0))&amp;"",""))</f>
        <v/>
      </c>
      <c r="F50" s="7" t="str">
        <f aca="false">IF($A50="","",IFERROR(INDEX(Equipment!$L$5:$L$500,MATCH($A50,Equipment!$T$5:$T$500,0))&amp;"",""))</f>
        <v/>
      </c>
      <c r="G50" s="7" t="str">
        <f aca="false">IF($A50="","",IFERROR(INDEX(Equipment!$Q$5:$Q$500,MATCH($A50,Equipment!$T$5:$T$500,0))&amp;"",""))</f>
        <v/>
      </c>
      <c r="H50" s="7"/>
    </row>
    <row r="51" customFormat="false" ht="15" hidden="false" customHeight="false" outlineLevel="0" collapsed="false">
      <c r="A51" s="7" t="str">
        <f aca="false">IF(39&gt;$C$10,"",39)</f>
        <v/>
      </c>
      <c r="B51" s="7" t="str">
        <f aca="false">IF($A51="","",IFERROR(INDEX(Equipment!$A$5:$A$500,MATCH($A51,Equipment!$T$5:$T$500,0))&amp;"",""))</f>
        <v/>
      </c>
      <c r="C51" s="7" t="str">
        <f aca="false">IF($A51="","",IFERROR(INDEX(Equipment!$B$5:$B$500,MATCH($A51,Equipment!$T$5:$T$500,0))&amp;"",""))</f>
        <v/>
      </c>
      <c r="D51" s="7" t="str">
        <f aca="false">IF($A51="","",IFERROR(INDEX(Equipment!$D$5:$D$500,MATCH($A51,Equipment!$T$5:$T$500,0))&amp;"",""))</f>
        <v/>
      </c>
      <c r="E51" s="7" t="str">
        <f aca="false">IF($A51="","",IFERROR(INDEX(Equipment!$E$5:$E$500,MATCH($A51,Equipment!$T$5:$T$500,0))&amp;"",""))</f>
        <v/>
      </c>
      <c r="F51" s="7" t="str">
        <f aca="false">IF($A51="","",IFERROR(INDEX(Equipment!$L$5:$L$500,MATCH($A51,Equipment!$T$5:$T$500,0))&amp;"",""))</f>
        <v/>
      </c>
      <c r="G51" s="7" t="str">
        <f aca="false">IF($A51="","",IFERROR(INDEX(Equipment!$Q$5:$Q$500,MATCH($A51,Equipment!$T$5:$T$500,0))&amp;"",""))</f>
        <v/>
      </c>
      <c r="H51" s="7"/>
    </row>
    <row r="52" customFormat="false" ht="15" hidden="false" customHeight="false" outlineLevel="0" collapsed="false">
      <c r="A52" s="7" t="str">
        <f aca="false">IF(40&gt;$C$10,"",40)</f>
        <v/>
      </c>
      <c r="B52" s="7" t="str">
        <f aca="false">IF($A52="","",IFERROR(INDEX(Equipment!$A$5:$A$500,MATCH($A52,Equipment!$T$5:$T$500,0))&amp;"",""))</f>
        <v/>
      </c>
      <c r="C52" s="7" t="str">
        <f aca="false">IF($A52="","",IFERROR(INDEX(Equipment!$B$5:$B$500,MATCH($A52,Equipment!$T$5:$T$500,0))&amp;"",""))</f>
        <v/>
      </c>
      <c r="D52" s="7" t="str">
        <f aca="false">IF($A52="","",IFERROR(INDEX(Equipment!$D$5:$D$500,MATCH($A52,Equipment!$T$5:$T$500,0))&amp;"",""))</f>
        <v/>
      </c>
      <c r="E52" s="7" t="str">
        <f aca="false">IF($A52="","",IFERROR(INDEX(Equipment!$E$5:$E$500,MATCH($A52,Equipment!$T$5:$T$500,0))&amp;"",""))</f>
        <v/>
      </c>
      <c r="F52" s="7" t="str">
        <f aca="false">IF($A52="","",IFERROR(INDEX(Equipment!$L$5:$L$500,MATCH($A52,Equipment!$T$5:$T$500,0))&amp;"",""))</f>
        <v/>
      </c>
      <c r="G52" s="7" t="str">
        <f aca="false">IF($A52="","",IFERROR(INDEX(Equipment!$Q$5:$Q$500,MATCH($A52,Equipment!$T$5:$T$500,0))&amp;"",""))</f>
        <v/>
      </c>
      <c r="H52" s="7"/>
    </row>
    <row r="53" customFormat="false" ht="15" hidden="false" customHeight="false" outlineLevel="0" collapsed="false">
      <c r="A53" s="7" t="str">
        <f aca="false">IF(41&gt;$C$10,"",41)</f>
        <v/>
      </c>
      <c r="B53" s="7" t="str">
        <f aca="false">IF($A53="","",IFERROR(INDEX(Equipment!$A$5:$A$500,MATCH($A53,Equipment!$T$5:$T$500,0))&amp;"",""))</f>
        <v/>
      </c>
      <c r="C53" s="7" t="str">
        <f aca="false">IF($A53="","",IFERROR(INDEX(Equipment!$B$5:$B$500,MATCH($A53,Equipment!$T$5:$T$500,0))&amp;"",""))</f>
        <v/>
      </c>
      <c r="D53" s="7" t="str">
        <f aca="false">IF($A53="","",IFERROR(INDEX(Equipment!$D$5:$D$500,MATCH($A53,Equipment!$T$5:$T$500,0))&amp;"",""))</f>
        <v/>
      </c>
      <c r="E53" s="7" t="str">
        <f aca="false">IF($A53="","",IFERROR(INDEX(Equipment!$E$5:$E$500,MATCH($A53,Equipment!$T$5:$T$500,0))&amp;"",""))</f>
        <v/>
      </c>
      <c r="F53" s="7" t="str">
        <f aca="false">IF($A53="","",IFERROR(INDEX(Equipment!$L$5:$L$500,MATCH($A53,Equipment!$T$5:$T$500,0))&amp;"",""))</f>
        <v/>
      </c>
      <c r="G53" s="7" t="str">
        <f aca="false">IF($A53="","",IFERROR(INDEX(Equipment!$Q$5:$Q$500,MATCH($A53,Equipment!$T$5:$T$500,0))&amp;"",""))</f>
        <v/>
      </c>
      <c r="H53" s="7"/>
    </row>
    <row r="54" customFormat="false" ht="15" hidden="false" customHeight="false" outlineLevel="0" collapsed="false">
      <c r="A54" s="7" t="str">
        <f aca="false">IF(42&gt;$C$10,"",42)</f>
        <v/>
      </c>
      <c r="B54" s="7" t="str">
        <f aca="false">IF($A54="","",IFERROR(INDEX(Equipment!$A$5:$A$500,MATCH($A54,Equipment!$T$5:$T$500,0))&amp;"",""))</f>
        <v/>
      </c>
      <c r="C54" s="7" t="str">
        <f aca="false">IF($A54="","",IFERROR(INDEX(Equipment!$B$5:$B$500,MATCH($A54,Equipment!$T$5:$T$500,0))&amp;"",""))</f>
        <v/>
      </c>
      <c r="D54" s="7" t="str">
        <f aca="false">IF($A54="","",IFERROR(INDEX(Equipment!$D$5:$D$500,MATCH($A54,Equipment!$T$5:$T$500,0))&amp;"",""))</f>
        <v/>
      </c>
      <c r="E54" s="7" t="str">
        <f aca="false">IF($A54="","",IFERROR(INDEX(Equipment!$E$5:$E$500,MATCH($A54,Equipment!$T$5:$T$500,0))&amp;"",""))</f>
        <v/>
      </c>
      <c r="F54" s="7" t="str">
        <f aca="false">IF($A54="","",IFERROR(INDEX(Equipment!$L$5:$L$500,MATCH($A54,Equipment!$T$5:$T$500,0))&amp;"",""))</f>
        <v/>
      </c>
      <c r="G54" s="7" t="str">
        <f aca="false">IF($A54="","",IFERROR(INDEX(Equipment!$Q$5:$Q$500,MATCH($A54,Equipment!$T$5:$T$500,0))&amp;"",""))</f>
        <v/>
      </c>
      <c r="H54" s="7"/>
    </row>
    <row r="55" customFormat="false" ht="15" hidden="false" customHeight="false" outlineLevel="0" collapsed="false">
      <c r="A55" s="7" t="str">
        <f aca="false">IF(43&gt;$C$10,"",43)</f>
        <v/>
      </c>
      <c r="B55" s="7" t="str">
        <f aca="false">IF($A55="","",IFERROR(INDEX(Equipment!$A$5:$A$500,MATCH($A55,Equipment!$T$5:$T$500,0))&amp;"",""))</f>
        <v/>
      </c>
      <c r="C55" s="7" t="str">
        <f aca="false">IF($A55="","",IFERROR(INDEX(Equipment!$B$5:$B$500,MATCH($A55,Equipment!$T$5:$T$500,0))&amp;"",""))</f>
        <v/>
      </c>
      <c r="D55" s="7" t="str">
        <f aca="false">IF($A55="","",IFERROR(INDEX(Equipment!$D$5:$D$500,MATCH($A55,Equipment!$T$5:$T$500,0))&amp;"",""))</f>
        <v/>
      </c>
      <c r="E55" s="7" t="str">
        <f aca="false">IF($A55="","",IFERROR(INDEX(Equipment!$E$5:$E$500,MATCH($A55,Equipment!$T$5:$T$500,0))&amp;"",""))</f>
        <v/>
      </c>
      <c r="F55" s="7" t="str">
        <f aca="false">IF($A55="","",IFERROR(INDEX(Equipment!$L$5:$L$500,MATCH($A55,Equipment!$T$5:$T$500,0))&amp;"",""))</f>
        <v/>
      </c>
      <c r="G55" s="7" t="str">
        <f aca="false">IF($A55="","",IFERROR(INDEX(Equipment!$Q$5:$Q$500,MATCH($A55,Equipment!$T$5:$T$500,0))&amp;"",""))</f>
        <v/>
      </c>
      <c r="H55" s="7"/>
    </row>
    <row r="56" customFormat="false" ht="15" hidden="false" customHeight="false" outlineLevel="0" collapsed="false">
      <c r="A56" s="7" t="str">
        <f aca="false">IF(44&gt;$C$10,"",44)</f>
        <v/>
      </c>
      <c r="B56" s="7" t="str">
        <f aca="false">IF($A56="","",IFERROR(INDEX(Equipment!$A$5:$A$500,MATCH($A56,Equipment!$T$5:$T$500,0))&amp;"",""))</f>
        <v/>
      </c>
      <c r="C56" s="7" t="str">
        <f aca="false">IF($A56="","",IFERROR(INDEX(Equipment!$B$5:$B$500,MATCH($A56,Equipment!$T$5:$T$500,0))&amp;"",""))</f>
        <v/>
      </c>
      <c r="D56" s="7" t="str">
        <f aca="false">IF($A56="","",IFERROR(INDEX(Equipment!$D$5:$D$500,MATCH($A56,Equipment!$T$5:$T$500,0))&amp;"",""))</f>
        <v/>
      </c>
      <c r="E56" s="7" t="str">
        <f aca="false">IF($A56="","",IFERROR(INDEX(Equipment!$E$5:$E$500,MATCH($A56,Equipment!$T$5:$T$500,0))&amp;"",""))</f>
        <v/>
      </c>
      <c r="F56" s="7" t="str">
        <f aca="false">IF($A56="","",IFERROR(INDEX(Equipment!$L$5:$L$500,MATCH($A56,Equipment!$T$5:$T$500,0))&amp;"",""))</f>
        <v/>
      </c>
      <c r="G56" s="7" t="str">
        <f aca="false">IF($A56="","",IFERROR(INDEX(Equipment!$Q$5:$Q$500,MATCH($A56,Equipment!$T$5:$T$500,0))&amp;"",""))</f>
        <v/>
      </c>
      <c r="H56" s="7"/>
    </row>
    <row r="57" customFormat="false" ht="15" hidden="false" customHeight="false" outlineLevel="0" collapsed="false">
      <c r="A57" s="7" t="str">
        <f aca="false">IF(45&gt;$C$10,"",45)</f>
        <v/>
      </c>
      <c r="B57" s="7" t="str">
        <f aca="false">IF($A57="","",IFERROR(INDEX(Equipment!$A$5:$A$500,MATCH($A57,Equipment!$T$5:$T$500,0))&amp;"",""))</f>
        <v/>
      </c>
      <c r="C57" s="7" t="str">
        <f aca="false">IF($A57="","",IFERROR(INDEX(Equipment!$B$5:$B$500,MATCH($A57,Equipment!$T$5:$T$500,0))&amp;"",""))</f>
        <v/>
      </c>
      <c r="D57" s="7" t="str">
        <f aca="false">IF($A57="","",IFERROR(INDEX(Equipment!$D$5:$D$500,MATCH($A57,Equipment!$T$5:$T$500,0))&amp;"",""))</f>
        <v/>
      </c>
      <c r="E57" s="7" t="str">
        <f aca="false">IF($A57="","",IFERROR(INDEX(Equipment!$E$5:$E$500,MATCH($A57,Equipment!$T$5:$T$500,0))&amp;"",""))</f>
        <v/>
      </c>
      <c r="F57" s="7" t="str">
        <f aca="false">IF($A57="","",IFERROR(INDEX(Equipment!$L$5:$L$500,MATCH($A57,Equipment!$T$5:$T$500,0))&amp;"",""))</f>
        <v/>
      </c>
      <c r="G57" s="7" t="str">
        <f aca="false">IF($A57="","",IFERROR(INDEX(Equipment!$Q$5:$Q$500,MATCH($A57,Equipment!$T$5:$T$500,0))&amp;"",""))</f>
        <v/>
      </c>
      <c r="H57" s="7"/>
    </row>
    <row r="58" customFormat="false" ht="15" hidden="false" customHeight="false" outlineLevel="0" collapsed="false">
      <c r="A58" s="7" t="str">
        <f aca="false">IF(46&gt;$C$10,"",46)</f>
        <v/>
      </c>
      <c r="B58" s="7" t="str">
        <f aca="false">IF($A58="","",IFERROR(INDEX(Equipment!$A$5:$A$500,MATCH($A58,Equipment!$T$5:$T$500,0))&amp;"",""))</f>
        <v/>
      </c>
      <c r="C58" s="7" t="str">
        <f aca="false">IF($A58="","",IFERROR(INDEX(Equipment!$B$5:$B$500,MATCH($A58,Equipment!$T$5:$T$500,0))&amp;"",""))</f>
        <v/>
      </c>
      <c r="D58" s="7" t="str">
        <f aca="false">IF($A58="","",IFERROR(INDEX(Equipment!$D$5:$D$500,MATCH($A58,Equipment!$T$5:$T$500,0))&amp;"",""))</f>
        <v/>
      </c>
      <c r="E58" s="7" t="str">
        <f aca="false">IF($A58="","",IFERROR(INDEX(Equipment!$E$5:$E$500,MATCH($A58,Equipment!$T$5:$T$500,0))&amp;"",""))</f>
        <v/>
      </c>
      <c r="F58" s="7" t="str">
        <f aca="false">IF($A58="","",IFERROR(INDEX(Equipment!$L$5:$L$500,MATCH($A58,Equipment!$T$5:$T$500,0))&amp;"",""))</f>
        <v/>
      </c>
      <c r="G58" s="7" t="str">
        <f aca="false">IF($A58="","",IFERROR(INDEX(Equipment!$Q$5:$Q$500,MATCH($A58,Equipment!$T$5:$T$500,0))&amp;"",""))</f>
        <v/>
      </c>
      <c r="H58" s="7"/>
    </row>
    <row r="59" customFormat="false" ht="15" hidden="false" customHeight="false" outlineLevel="0" collapsed="false">
      <c r="A59" s="7" t="str">
        <f aca="false">IF(47&gt;$C$10,"",47)</f>
        <v/>
      </c>
      <c r="B59" s="7" t="str">
        <f aca="false">IF($A59="","",IFERROR(INDEX(Equipment!$A$5:$A$500,MATCH($A59,Equipment!$T$5:$T$500,0))&amp;"",""))</f>
        <v/>
      </c>
      <c r="C59" s="7" t="str">
        <f aca="false">IF($A59="","",IFERROR(INDEX(Equipment!$B$5:$B$500,MATCH($A59,Equipment!$T$5:$T$500,0))&amp;"",""))</f>
        <v/>
      </c>
      <c r="D59" s="7" t="str">
        <f aca="false">IF($A59="","",IFERROR(INDEX(Equipment!$D$5:$D$500,MATCH($A59,Equipment!$T$5:$T$500,0))&amp;"",""))</f>
        <v/>
      </c>
      <c r="E59" s="7" t="str">
        <f aca="false">IF($A59="","",IFERROR(INDEX(Equipment!$E$5:$E$500,MATCH($A59,Equipment!$T$5:$T$500,0))&amp;"",""))</f>
        <v/>
      </c>
      <c r="F59" s="7" t="str">
        <f aca="false">IF($A59="","",IFERROR(INDEX(Equipment!$L$5:$L$500,MATCH($A59,Equipment!$T$5:$T$500,0))&amp;"",""))</f>
        <v/>
      </c>
      <c r="G59" s="7" t="str">
        <f aca="false">IF($A59="","",IFERROR(INDEX(Equipment!$Q$5:$Q$500,MATCH($A59,Equipment!$T$5:$T$500,0))&amp;"",""))</f>
        <v/>
      </c>
      <c r="H59" s="7"/>
    </row>
    <row r="60" customFormat="false" ht="15" hidden="false" customHeight="false" outlineLevel="0" collapsed="false">
      <c r="A60" s="7" t="str">
        <f aca="false">IF(48&gt;$C$10,"",48)</f>
        <v/>
      </c>
      <c r="B60" s="7" t="str">
        <f aca="false">IF($A60="","",IFERROR(INDEX(Equipment!$A$5:$A$500,MATCH($A60,Equipment!$T$5:$T$500,0))&amp;"",""))</f>
        <v/>
      </c>
      <c r="C60" s="7" t="str">
        <f aca="false">IF($A60="","",IFERROR(INDEX(Equipment!$B$5:$B$500,MATCH($A60,Equipment!$T$5:$T$500,0))&amp;"",""))</f>
        <v/>
      </c>
      <c r="D60" s="7" t="str">
        <f aca="false">IF($A60="","",IFERROR(INDEX(Equipment!$D$5:$D$500,MATCH($A60,Equipment!$T$5:$T$500,0))&amp;"",""))</f>
        <v/>
      </c>
      <c r="E60" s="7" t="str">
        <f aca="false">IF($A60="","",IFERROR(INDEX(Equipment!$E$5:$E$500,MATCH($A60,Equipment!$T$5:$T$500,0))&amp;"",""))</f>
        <v/>
      </c>
      <c r="F60" s="7" t="str">
        <f aca="false">IF($A60="","",IFERROR(INDEX(Equipment!$L$5:$L$500,MATCH($A60,Equipment!$T$5:$T$500,0))&amp;"",""))</f>
        <v/>
      </c>
      <c r="G60" s="7" t="str">
        <f aca="false">IF($A60="","",IFERROR(INDEX(Equipment!$Q$5:$Q$500,MATCH($A60,Equipment!$T$5:$T$500,0))&amp;"",""))</f>
        <v/>
      </c>
      <c r="H60" s="7"/>
    </row>
    <row r="61" customFormat="false" ht="15" hidden="false" customHeight="false" outlineLevel="0" collapsed="false">
      <c r="A61" s="7" t="str">
        <f aca="false">IF(49&gt;$C$10,"",49)</f>
        <v/>
      </c>
      <c r="B61" s="7" t="str">
        <f aca="false">IF($A61="","",IFERROR(INDEX(Equipment!$A$5:$A$500,MATCH($A61,Equipment!$T$5:$T$500,0))&amp;"",""))</f>
        <v/>
      </c>
      <c r="C61" s="7" t="str">
        <f aca="false">IF($A61="","",IFERROR(INDEX(Equipment!$B$5:$B$500,MATCH($A61,Equipment!$T$5:$T$500,0))&amp;"",""))</f>
        <v/>
      </c>
      <c r="D61" s="7" t="str">
        <f aca="false">IF($A61="","",IFERROR(INDEX(Equipment!$D$5:$D$500,MATCH($A61,Equipment!$T$5:$T$500,0))&amp;"",""))</f>
        <v/>
      </c>
      <c r="E61" s="7" t="str">
        <f aca="false">IF($A61="","",IFERROR(INDEX(Equipment!$E$5:$E$500,MATCH($A61,Equipment!$T$5:$T$500,0))&amp;"",""))</f>
        <v/>
      </c>
      <c r="F61" s="7" t="str">
        <f aca="false">IF($A61="","",IFERROR(INDEX(Equipment!$L$5:$L$500,MATCH($A61,Equipment!$T$5:$T$500,0))&amp;"",""))</f>
        <v/>
      </c>
      <c r="G61" s="7" t="str">
        <f aca="false">IF($A61="","",IFERROR(INDEX(Equipment!$Q$5:$Q$500,MATCH($A61,Equipment!$T$5:$T$500,0))&amp;"",""))</f>
        <v/>
      </c>
      <c r="H61" s="7"/>
    </row>
    <row r="62" customFormat="false" ht="15" hidden="false" customHeight="false" outlineLevel="0" collapsed="false">
      <c r="A62" s="7" t="str">
        <f aca="false">IF(50&gt;$C$10,"",50)</f>
        <v/>
      </c>
      <c r="B62" s="7" t="str">
        <f aca="false">IF($A62="","",IFERROR(INDEX(Equipment!$A$5:$A$500,MATCH($A62,Equipment!$T$5:$T$500,0))&amp;"",""))</f>
        <v/>
      </c>
      <c r="C62" s="7" t="str">
        <f aca="false">IF($A62="","",IFERROR(INDEX(Equipment!$B$5:$B$500,MATCH($A62,Equipment!$T$5:$T$500,0))&amp;"",""))</f>
        <v/>
      </c>
      <c r="D62" s="7" t="str">
        <f aca="false">IF($A62="","",IFERROR(INDEX(Equipment!$D$5:$D$500,MATCH($A62,Equipment!$T$5:$T$500,0))&amp;"",""))</f>
        <v/>
      </c>
      <c r="E62" s="7" t="str">
        <f aca="false">IF($A62="","",IFERROR(INDEX(Equipment!$E$5:$E$500,MATCH($A62,Equipment!$T$5:$T$500,0))&amp;"",""))</f>
        <v/>
      </c>
      <c r="F62" s="7" t="str">
        <f aca="false">IF($A62="","",IFERROR(INDEX(Equipment!$L$5:$L$500,MATCH($A62,Equipment!$T$5:$T$500,0))&amp;"",""))</f>
        <v/>
      </c>
      <c r="G62" s="7" t="str">
        <f aca="false">IF($A62="","",IFERROR(INDEX(Equipment!$Q$5:$Q$500,MATCH($A62,Equipment!$T$5:$T$500,0))&amp;"",""))</f>
        <v/>
      </c>
      <c r="H62" s="7"/>
    </row>
    <row r="63" customFormat="false" ht="15" hidden="false" customHeight="false" outlineLevel="0" collapsed="false">
      <c r="A63" s="7" t="str">
        <f aca="false">IF(51&gt;$C$10,"",51)</f>
        <v/>
      </c>
      <c r="B63" s="7" t="str">
        <f aca="false">IF($A63="","",IFERROR(INDEX(Equipment!$A$5:$A$500,MATCH($A63,Equipment!$T$5:$T$500,0))&amp;"",""))</f>
        <v/>
      </c>
      <c r="C63" s="7" t="str">
        <f aca="false">IF($A63="","",IFERROR(INDEX(Equipment!$B$5:$B$500,MATCH($A63,Equipment!$T$5:$T$500,0))&amp;"",""))</f>
        <v/>
      </c>
      <c r="D63" s="7" t="str">
        <f aca="false">IF($A63="","",IFERROR(INDEX(Equipment!$D$5:$D$500,MATCH($A63,Equipment!$T$5:$T$500,0))&amp;"",""))</f>
        <v/>
      </c>
      <c r="E63" s="7" t="str">
        <f aca="false">IF($A63="","",IFERROR(INDEX(Equipment!$E$5:$E$500,MATCH($A63,Equipment!$T$5:$T$500,0))&amp;"",""))</f>
        <v/>
      </c>
      <c r="F63" s="7" t="str">
        <f aca="false">IF($A63="","",IFERROR(INDEX(Equipment!$L$5:$L$500,MATCH($A63,Equipment!$T$5:$T$500,0))&amp;"",""))</f>
        <v/>
      </c>
      <c r="G63" s="7" t="str">
        <f aca="false">IF($A63="","",IFERROR(INDEX(Equipment!$Q$5:$Q$500,MATCH($A63,Equipment!$T$5:$T$500,0))&amp;"",""))</f>
        <v/>
      </c>
      <c r="H63" s="7"/>
    </row>
    <row r="64" customFormat="false" ht="15" hidden="false" customHeight="false" outlineLevel="0" collapsed="false">
      <c r="A64" s="7" t="str">
        <f aca="false">IF(52&gt;$C$10,"",52)</f>
        <v/>
      </c>
      <c r="B64" s="7" t="str">
        <f aca="false">IF($A64="","",IFERROR(INDEX(Equipment!$A$5:$A$500,MATCH($A64,Equipment!$T$5:$T$500,0))&amp;"",""))</f>
        <v/>
      </c>
      <c r="C64" s="7" t="str">
        <f aca="false">IF($A64="","",IFERROR(INDEX(Equipment!$B$5:$B$500,MATCH($A64,Equipment!$T$5:$T$500,0))&amp;"",""))</f>
        <v/>
      </c>
      <c r="D64" s="7" t="str">
        <f aca="false">IF($A64="","",IFERROR(INDEX(Equipment!$D$5:$D$500,MATCH($A64,Equipment!$T$5:$T$500,0))&amp;"",""))</f>
        <v/>
      </c>
      <c r="E64" s="7" t="str">
        <f aca="false">IF($A64="","",IFERROR(INDEX(Equipment!$E$5:$E$500,MATCH($A64,Equipment!$T$5:$T$500,0))&amp;"",""))</f>
        <v/>
      </c>
      <c r="F64" s="7" t="str">
        <f aca="false">IF($A64="","",IFERROR(INDEX(Equipment!$L$5:$L$500,MATCH($A64,Equipment!$T$5:$T$500,0))&amp;"",""))</f>
        <v/>
      </c>
      <c r="G64" s="7" t="str">
        <f aca="false">IF($A64="","",IFERROR(INDEX(Equipment!$Q$5:$Q$500,MATCH($A64,Equipment!$T$5:$T$500,0))&amp;"",""))</f>
        <v/>
      </c>
      <c r="H64" s="7"/>
    </row>
    <row r="65" customFormat="false" ht="15" hidden="false" customHeight="false" outlineLevel="0" collapsed="false">
      <c r="A65" s="7" t="str">
        <f aca="false">IF(53&gt;$C$10,"",53)</f>
        <v/>
      </c>
      <c r="B65" s="7" t="str">
        <f aca="false">IF($A65="","",IFERROR(INDEX(Equipment!$A$5:$A$500,MATCH($A65,Equipment!$T$5:$T$500,0))&amp;"",""))</f>
        <v/>
      </c>
      <c r="C65" s="7" t="str">
        <f aca="false">IF($A65="","",IFERROR(INDEX(Equipment!$B$5:$B$500,MATCH($A65,Equipment!$T$5:$T$500,0))&amp;"",""))</f>
        <v/>
      </c>
      <c r="D65" s="7" t="str">
        <f aca="false">IF($A65="","",IFERROR(INDEX(Equipment!$D$5:$D$500,MATCH($A65,Equipment!$T$5:$T$500,0))&amp;"",""))</f>
        <v/>
      </c>
      <c r="E65" s="7" t="str">
        <f aca="false">IF($A65="","",IFERROR(INDEX(Equipment!$E$5:$E$500,MATCH($A65,Equipment!$T$5:$T$500,0))&amp;"",""))</f>
        <v/>
      </c>
      <c r="F65" s="7" t="str">
        <f aca="false">IF($A65="","",IFERROR(INDEX(Equipment!$L$5:$L$500,MATCH($A65,Equipment!$T$5:$T$500,0))&amp;"",""))</f>
        <v/>
      </c>
      <c r="G65" s="7" t="str">
        <f aca="false">IF($A65="","",IFERROR(INDEX(Equipment!$Q$5:$Q$500,MATCH($A65,Equipment!$T$5:$T$500,0))&amp;"",""))</f>
        <v/>
      </c>
      <c r="H65" s="7"/>
    </row>
    <row r="66" customFormat="false" ht="15" hidden="false" customHeight="false" outlineLevel="0" collapsed="false">
      <c r="A66" s="7" t="str">
        <f aca="false">IF(54&gt;$C$10,"",54)</f>
        <v/>
      </c>
      <c r="B66" s="7" t="str">
        <f aca="false">IF($A66="","",IFERROR(INDEX(Equipment!$A$5:$A$500,MATCH($A66,Equipment!$T$5:$T$500,0))&amp;"",""))</f>
        <v/>
      </c>
      <c r="C66" s="7" t="str">
        <f aca="false">IF($A66="","",IFERROR(INDEX(Equipment!$B$5:$B$500,MATCH($A66,Equipment!$T$5:$T$500,0))&amp;"",""))</f>
        <v/>
      </c>
      <c r="D66" s="7" t="str">
        <f aca="false">IF($A66="","",IFERROR(INDEX(Equipment!$D$5:$D$500,MATCH($A66,Equipment!$T$5:$T$500,0))&amp;"",""))</f>
        <v/>
      </c>
      <c r="E66" s="7" t="str">
        <f aca="false">IF($A66="","",IFERROR(INDEX(Equipment!$E$5:$E$500,MATCH($A66,Equipment!$T$5:$T$500,0))&amp;"",""))</f>
        <v/>
      </c>
      <c r="F66" s="7" t="str">
        <f aca="false">IF($A66="","",IFERROR(INDEX(Equipment!$L$5:$L$500,MATCH($A66,Equipment!$T$5:$T$500,0))&amp;"",""))</f>
        <v/>
      </c>
      <c r="G66" s="7" t="str">
        <f aca="false">IF($A66="","",IFERROR(INDEX(Equipment!$Q$5:$Q$500,MATCH($A66,Equipment!$T$5:$T$500,0))&amp;"",""))</f>
        <v/>
      </c>
      <c r="H66" s="7"/>
    </row>
    <row r="67" customFormat="false" ht="15" hidden="false" customHeight="false" outlineLevel="0" collapsed="false">
      <c r="A67" s="7" t="str">
        <f aca="false">IF(55&gt;$C$10,"",55)</f>
        <v/>
      </c>
      <c r="B67" s="7" t="str">
        <f aca="false">IF($A67="","",IFERROR(INDEX(Equipment!$A$5:$A$500,MATCH($A67,Equipment!$T$5:$T$500,0))&amp;"",""))</f>
        <v/>
      </c>
      <c r="C67" s="7" t="str">
        <f aca="false">IF($A67="","",IFERROR(INDEX(Equipment!$B$5:$B$500,MATCH($A67,Equipment!$T$5:$T$500,0))&amp;"",""))</f>
        <v/>
      </c>
      <c r="D67" s="7" t="str">
        <f aca="false">IF($A67="","",IFERROR(INDEX(Equipment!$D$5:$D$500,MATCH($A67,Equipment!$T$5:$T$500,0))&amp;"",""))</f>
        <v/>
      </c>
      <c r="E67" s="7" t="str">
        <f aca="false">IF($A67="","",IFERROR(INDEX(Equipment!$E$5:$E$500,MATCH($A67,Equipment!$T$5:$T$500,0))&amp;"",""))</f>
        <v/>
      </c>
      <c r="F67" s="7" t="str">
        <f aca="false">IF($A67="","",IFERROR(INDEX(Equipment!$L$5:$L$500,MATCH($A67,Equipment!$T$5:$T$500,0))&amp;"",""))</f>
        <v/>
      </c>
      <c r="G67" s="7" t="str">
        <f aca="false">IF($A67="","",IFERROR(INDEX(Equipment!$Q$5:$Q$500,MATCH($A67,Equipment!$T$5:$T$500,0))&amp;"",""))</f>
        <v/>
      </c>
      <c r="H67" s="7"/>
    </row>
    <row r="68" customFormat="false" ht="15" hidden="false" customHeight="false" outlineLevel="0" collapsed="false">
      <c r="A68" s="7" t="str">
        <f aca="false">IF(56&gt;$C$10,"",56)</f>
        <v/>
      </c>
      <c r="B68" s="7" t="str">
        <f aca="false">IF($A68="","",IFERROR(INDEX(Equipment!$A$5:$A$500,MATCH($A68,Equipment!$T$5:$T$500,0))&amp;"",""))</f>
        <v/>
      </c>
      <c r="C68" s="7" t="str">
        <f aca="false">IF($A68="","",IFERROR(INDEX(Equipment!$B$5:$B$500,MATCH($A68,Equipment!$T$5:$T$500,0))&amp;"",""))</f>
        <v/>
      </c>
      <c r="D68" s="7" t="str">
        <f aca="false">IF($A68="","",IFERROR(INDEX(Equipment!$D$5:$D$500,MATCH($A68,Equipment!$T$5:$T$500,0))&amp;"",""))</f>
        <v/>
      </c>
      <c r="E68" s="7" t="str">
        <f aca="false">IF($A68="","",IFERROR(INDEX(Equipment!$E$5:$E$500,MATCH($A68,Equipment!$T$5:$T$500,0))&amp;"",""))</f>
        <v/>
      </c>
      <c r="F68" s="7" t="str">
        <f aca="false">IF($A68="","",IFERROR(INDEX(Equipment!$L$5:$L$500,MATCH($A68,Equipment!$T$5:$T$500,0))&amp;"",""))</f>
        <v/>
      </c>
      <c r="G68" s="7" t="str">
        <f aca="false">IF($A68="","",IFERROR(INDEX(Equipment!$Q$5:$Q$500,MATCH($A68,Equipment!$T$5:$T$500,0))&amp;"",""))</f>
        <v/>
      </c>
      <c r="H68" s="7"/>
    </row>
    <row r="69" customFormat="false" ht="15" hidden="false" customHeight="false" outlineLevel="0" collapsed="false">
      <c r="A69" s="7" t="str">
        <f aca="false">IF(57&gt;$C$10,"",57)</f>
        <v/>
      </c>
      <c r="B69" s="7" t="str">
        <f aca="false">IF($A69="","",IFERROR(INDEX(Equipment!$A$5:$A$500,MATCH($A69,Equipment!$T$5:$T$500,0))&amp;"",""))</f>
        <v/>
      </c>
      <c r="C69" s="7" t="str">
        <f aca="false">IF($A69="","",IFERROR(INDEX(Equipment!$B$5:$B$500,MATCH($A69,Equipment!$T$5:$T$500,0))&amp;"",""))</f>
        <v/>
      </c>
      <c r="D69" s="7" t="str">
        <f aca="false">IF($A69="","",IFERROR(INDEX(Equipment!$D$5:$D$500,MATCH($A69,Equipment!$T$5:$T$500,0))&amp;"",""))</f>
        <v/>
      </c>
      <c r="E69" s="7" t="str">
        <f aca="false">IF($A69="","",IFERROR(INDEX(Equipment!$E$5:$E$500,MATCH($A69,Equipment!$T$5:$T$500,0))&amp;"",""))</f>
        <v/>
      </c>
      <c r="F69" s="7" t="str">
        <f aca="false">IF($A69="","",IFERROR(INDEX(Equipment!$L$5:$L$500,MATCH($A69,Equipment!$T$5:$T$500,0))&amp;"",""))</f>
        <v/>
      </c>
      <c r="G69" s="7" t="str">
        <f aca="false">IF($A69="","",IFERROR(INDEX(Equipment!$Q$5:$Q$500,MATCH($A69,Equipment!$T$5:$T$500,0))&amp;"",""))</f>
        <v/>
      </c>
      <c r="H69" s="7"/>
    </row>
    <row r="70" customFormat="false" ht="15" hidden="false" customHeight="false" outlineLevel="0" collapsed="false">
      <c r="A70" s="7" t="str">
        <f aca="false">IF(58&gt;$C$10,"",58)</f>
        <v/>
      </c>
      <c r="B70" s="7" t="str">
        <f aca="false">IF($A70="","",IFERROR(INDEX(Equipment!$A$5:$A$500,MATCH($A70,Equipment!$T$5:$T$500,0))&amp;"",""))</f>
        <v/>
      </c>
      <c r="C70" s="7" t="str">
        <f aca="false">IF($A70="","",IFERROR(INDEX(Equipment!$B$5:$B$500,MATCH($A70,Equipment!$T$5:$T$500,0))&amp;"",""))</f>
        <v/>
      </c>
      <c r="D70" s="7" t="str">
        <f aca="false">IF($A70="","",IFERROR(INDEX(Equipment!$D$5:$D$500,MATCH($A70,Equipment!$T$5:$T$500,0))&amp;"",""))</f>
        <v/>
      </c>
      <c r="E70" s="7" t="str">
        <f aca="false">IF($A70="","",IFERROR(INDEX(Equipment!$E$5:$E$500,MATCH($A70,Equipment!$T$5:$T$500,0))&amp;"",""))</f>
        <v/>
      </c>
      <c r="F70" s="7" t="str">
        <f aca="false">IF($A70="","",IFERROR(INDEX(Equipment!$L$5:$L$500,MATCH($A70,Equipment!$T$5:$T$500,0))&amp;"",""))</f>
        <v/>
      </c>
      <c r="G70" s="7" t="str">
        <f aca="false">IF($A70="","",IFERROR(INDEX(Equipment!$Q$5:$Q$500,MATCH($A70,Equipment!$T$5:$T$500,0))&amp;"",""))</f>
        <v/>
      </c>
      <c r="H70" s="7"/>
    </row>
    <row r="71" customFormat="false" ht="15" hidden="false" customHeight="false" outlineLevel="0" collapsed="false">
      <c r="A71" s="7" t="str">
        <f aca="false">IF(59&gt;$C$10,"",59)</f>
        <v/>
      </c>
      <c r="B71" s="7" t="str">
        <f aca="false">IF($A71="","",IFERROR(INDEX(Equipment!$A$5:$A$500,MATCH($A71,Equipment!$T$5:$T$500,0))&amp;"",""))</f>
        <v/>
      </c>
      <c r="C71" s="7" t="str">
        <f aca="false">IF($A71="","",IFERROR(INDEX(Equipment!$B$5:$B$500,MATCH($A71,Equipment!$T$5:$T$500,0))&amp;"",""))</f>
        <v/>
      </c>
      <c r="D71" s="7" t="str">
        <f aca="false">IF($A71="","",IFERROR(INDEX(Equipment!$D$5:$D$500,MATCH($A71,Equipment!$T$5:$T$500,0))&amp;"",""))</f>
        <v/>
      </c>
      <c r="E71" s="7" t="str">
        <f aca="false">IF($A71="","",IFERROR(INDEX(Equipment!$E$5:$E$500,MATCH($A71,Equipment!$T$5:$T$500,0))&amp;"",""))</f>
        <v/>
      </c>
      <c r="F71" s="7" t="str">
        <f aca="false">IF($A71="","",IFERROR(INDEX(Equipment!$L$5:$L$500,MATCH($A71,Equipment!$T$5:$T$500,0))&amp;"",""))</f>
        <v/>
      </c>
      <c r="G71" s="7" t="str">
        <f aca="false">IF($A71="","",IFERROR(INDEX(Equipment!$Q$5:$Q$500,MATCH($A71,Equipment!$T$5:$T$500,0))&amp;"",""))</f>
        <v/>
      </c>
      <c r="H71" s="7"/>
    </row>
    <row r="72" customFormat="false" ht="15" hidden="false" customHeight="false" outlineLevel="0" collapsed="false">
      <c r="A72" s="7" t="str">
        <f aca="false">IF(60&gt;$C$10,"",60)</f>
        <v/>
      </c>
      <c r="B72" s="7" t="str">
        <f aca="false">IF($A72="","",IFERROR(INDEX(Equipment!$A$5:$A$500,MATCH($A72,Equipment!$T$5:$T$500,0))&amp;"",""))</f>
        <v/>
      </c>
      <c r="C72" s="7" t="str">
        <f aca="false">IF($A72="","",IFERROR(INDEX(Equipment!$B$5:$B$500,MATCH($A72,Equipment!$T$5:$T$500,0))&amp;"",""))</f>
        <v/>
      </c>
      <c r="D72" s="7" t="str">
        <f aca="false">IF($A72="","",IFERROR(INDEX(Equipment!$D$5:$D$500,MATCH($A72,Equipment!$T$5:$T$500,0))&amp;"",""))</f>
        <v/>
      </c>
      <c r="E72" s="7" t="str">
        <f aca="false">IF($A72="","",IFERROR(INDEX(Equipment!$E$5:$E$500,MATCH($A72,Equipment!$T$5:$T$500,0))&amp;"",""))</f>
        <v/>
      </c>
      <c r="F72" s="7" t="str">
        <f aca="false">IF($A72="","",IFERROR(INDEX(Equipment!$L$5:$L$500,MATCH($A72,Equipment!$T$5:$T$500,0))&amp;"",""))</f>
        <v/>
      </c>
      <c r="G72" s="7" t="str">
        <f aca="false">IF($A72="","",IFERROR(INDEX(Equipment!$Q$5:$Q$500,MATCH($A72,Equipment!$T$5:$T$500,0))&amp;"",""))</f>
        <v/>
      </c>
      <c r="H72" s="7"/>
    </row>
    <row r="75" customFormat="false" ht="15" hidden="false" customHeight="false" outlineLevel="0" collapsed="false">
      <c r="B75" s="0" t="s">
        <v>108</v>
      </c>
    </row>
  </sheetData>
  <dataValidations count="1">
    <dataValidation allowBlank="true" error="Pick a value from the containers and vehicles list (sheet Lists)." errorStyle="stop" errorTitle="Not in list" operator="between" showDropDown="false" showErrorMessage="true" showInputMessage="false" sqref="C4" type="list">
      <formula1>"CT-01,CT-02,CT-03,CT-04,CT-05,CT-06,CT-07,CT-08,VH-01,VH-02,VH-03,VH-04,VH-05,VH-06,VH-07,VH-08,VH-09,VH-10,VH-11,VH-12"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2" min="12" style="0" width="15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13"/>
    <col collapsed="false" customWidth="true" hidden="false" outlineLevel="0" max="16" min="16" style="0" width="9"/>
    <col collapsed="false" customWidth="true" hidden="false" outlineLevel="0" max="17" min="17" style="0" width="34"/>
    <col collapsed="false" customWidth="true" hidden="false" outlineLevel="0" max="18" min="18" style="0" width="26"/>
    <col collapsed="false" customWidth="true" hidden="false" outlineLevel="0" max="20" min="19" style="0" width="8"/>
  </cols>
  <sheetData>
    <row r="1" customFormat="false" ht="19.7" hidden="false" customHeight="false" outlineLevel="0" collapsed="false">
      <c r="A1" s="1" t="s">
        <v>2</v>
      </c>
    </row>
    <row r="2" customFormat="false" ht="15" hidden="false" customHeight="false" outlineLevel="0" collapsed="false">
      <c r="A2" s="2" t="s">
        <v>109</v>
      </c>
    </row>
    <row r="4" customFormat="false" ht="31.5" hidden="false" customHeight="true" outlineLevel="0" collapsed="false">
      <c r="A4" s="13" t="s">
        <v>93</v>
      </c>
      <c r="B4" s="13" t="s">
        <v>94</v>
      </c>
      <c r="C4" s="13" t="s">
        <v>110</v>
      </c>
      <c r="D4" s="13" t="s">
        <v>106</v>
      </c>
      <c r="E4" s="13" t="s">
        <v>95</v>
      </c>
      <c r="F4" s="13" t="s">
        <v>54</v>
      </c>
      <c r="G4" s="13" t="s">
        <v>25</v>
      </c>
      <c r="H4" s="13" t="s">
        <v>96</v>
      </c>
      <c r="I4" s="13" t="s">
        <v>111</v>
      </c>
      <c r="J4" s="13" t="s">
        <v>97</v>
      </c>
      <c r="K4" s="13" t="s">
        <v>98</v>
      </c>
      <c r="L4" s="13" t="s">
        <v>28</v>
      </c>
      <c r="M4" s="13" t="s">
        <v>112</v>
      </c>
      <c r="N4" s="13" t="s">
        <v>113</v>
      </c>
      <c r="O4" s="13" t="s">
        <v>114</v>
      </c>
      <c r="P4" s="13" t="s">
        <v>115</v>
      </c>
      <c r="Q4" s="13" t="s">
        <v>99</v>
      </c>
      <c r="R4" s="13" t="s">
        <v>116</v>
      </c>
      <c r="S4" s="13" t="s">
        <v>117</v>
      </c>
      <c r="T4" s="13" t="s">
        <v>118</v>
      </c>
    </row>
    <row r="5" customFormat="false" ht="16.4" hidden="false" customHeight="false" outlineLevel="0" collapsed="false">
      <c r="A5" s="0" t="s">
        <v>119</v>
      </c>
      <c r="B5" s="0" t="s">
        <v>120</v>
      </c>
      <c r="C5" s="14" t="s">
        <v>121</v>
      </c>
      <c r="D5" s="10" t="s">
        <v>122</v>
      </c>
      <c r="E5" s="14" t="s">
        <v>78</v>
      </c>
      <c r="F5" s="14" t="s">
        <v>72</v>
      </c>
      <c r="G5" s="14" t="s">
        <v>34</v>
      </c>
      <c r="H5" s="14" t="s">
        <v>123</v>
      </c>
      <c r="M5" s="12" t="n">
        <v>46127</v>
      </c>
      <c r="N5" s="0" t="n">
        <v>180</v>
      </c>
      <c r="O5" s="15" t="n">
        <f aca="false">IF(OR(M5="",N5=""),"",M5+N5)</f>
        <v>46307</v>
      </c>
      <c r="P5" s="16" t="n">
        <f aca="true">IF(O5="","",O5-TODAY())</f>
        <v>-17</v>
      </c>
      <c r="Q5" s="17" t="str">
        <f aca="false">IF(A5="","",TRIM(IF(E5="","No owner. ","")&amp;IF(F5="","No storage location. ","")&amp;IF(D5="","Serial missing. ","")&amp;IF(OR(H5="",H5="Undecided"),"No disposition. ","")&amp;IF(AND(H5="Ship",J5="",K5=""),"Shipping but no container/vehicle. ","")&amp;IF(AND(J5&lt;&gt;"",K5&lt;&gt;""),"In both a container and a vehicle. ","")&amp;IF(AND(H5="Ship",L5=""),"No destination. ","")&amp;IF(AND(J5&lt;&gt;"",L5&lt;&gt;"",IFERROR(VLOOKUP(J5,Containers!$A$5:$F$60,6,FALSE()),L5)&lt;&gt;L5),"Destination differs from container. ","")&amp;IF(AND(K5&lt;&gt;"",L5&lt;&gt;"",IFERROR(VLOOKUP(K5,Vehicles!$A$5:$F$60,6,FALSE()),L5)&lt;&gt;L5),"Destination differs from vehicle. ","")&amp;IF(AND(H5="Stay",OR(J5&lt;&gt;"",K5&lt;&gt;"",L5&lt;&gt;"")),"Marked Stay but has a container/vehicle/destination. ","")&amp;IF(G5="Missing","Reported missing. ","")&amp;IF(AND(P5&lt;&gt;"",N(P5)&lt;0),"Service overdue. ","")))</f>
        <v>Service overdue.</v>
      </c>
      <c r="S5" s="17" t="str">
        <f aca="false">IF(A5="","",IF(CHOOSE(MATCH(Find!$C$4,Lists!$K$2:$K$7,0),F5,E5,J5,K5,L5,G5)=Find!$C$5,MAX(S$4:S4)+1,""))</f>
        <v/>
      </c>
      <c r="T5" s="17" t="str">
        <f aca="false">IF(A5="","",IF(OR(J5=Manifest!$C$4,K5=Manifest!$C$4),MAX(T$4:T4)+1,""))</f>
        <v/>
      </c>
    </row>
    <row r="6" customFormat="false" ht="16.4" hidden="false" customHeight="false" outlineLevel="0" collapsed="false">
      <c r="A6" s="0" t="s">
        <v>124</v>
      </c>
      <c r="B6" s="0" t="s">
        <v>125</v>
      </c>
      <c r="C6" s="14" t="s">
        <v>126</v>
      </c>
      <c r="D6" s="10" t="s">
        <v>127</v>
      </c>
      <c r="E6" s="14" t="s">
        <v>66</v>
      </c>
      <c r="F6" s="14" t="s">
        <v>60</v>
      </c>
      <c r="G6" s="14" t="s">
        <v>32</v>
      </c>
      <c r="H6" s="14" t="s">
        <v>128</v>
      </c>
      <c r="I6" s="0" t="s">
        <v>97</v>
      </c>
      <c r="J6" s="0" t="s">
        <v>129</v>
      </c>
      <c r="L6" s="0" t="s">
        <v>31</v>
      </c>
      <c r="M6" s="12"/>
      <c r="O6" s="15" t="str">
        <f aca="false">IF(OR(M6="",N6=""),"",M6+N6)</f>
        <v/>
      </c>
      <c r="P6" s="16" t="str">
        <f aca="true">IF(O6="","",O6-TODAY())</f>
        <v/>
      </c>
      <c r="Q6" s="17" t="str">
        <f aca="false">IF(A6="","",TRIM(IF(E6="","No owner. ","")&amp;IF(F6="","No storage location. ","")&amp;IF(D6="","Serial missing. ","")&amp;IF(OR(H6="",H6="Undecided"),"No disposition. ","")&amp;IF(AND(H6="Ship",J6="",K6=""),"Shipping but no container/vehicle. ","")&amp;IF(AND(J6&lt;&gt;"",K6&lt;&gt;""),"In both a container and a vehicle. ","")&amp;IF(AND(H6="Ship",L6=""),"No destination. ","")&amp;IF(AND(J6&lt;&gt;"",L6&lt;&gt;"",IFERROR(VLOOKUP(J6,Containers!$A$5:$F$60,6,FALSE()),L6)&lt;&gt;L6),"Destination differs from container. ","")&amp;IF(AND(K6&lt;&gt;"",L6&lt;&gt;"",IFERROR(VLOOKUP(K6,Vehicles!$A$5:$F$60,6,FALSE()),L6)&lt;&gt;L6),"Destination differs from vehicle. ","")&amp;IF(AND(H6="Stay",OR(J6&lt;&gt;"",K6&lt;&gt;"",L6&lt;&gt;"")),"Marked Stay but has a container/vehicle/destination. ","")&amp;IF(G6="Missing","Reported missing. ","")&amp;IF(AND(P6&lt;&gt;"",N(P6)&lt;0),"Service overdue. ","")))</f>
        <v/>
      </c>
      <c r="S6" s="17" t="str">
        <f aca="false">IF(A6="","",IF(CHOOSE(MATCH(Find!$C$4,Lists!$K$2:$K$7,0),F6,E6,J6,K6,L6,G6)=Find!$C$5,MAX(S$4:S5)+1,""))</f>
        <v/>
      </c>
      <c r="T6" s="17" t="str">
        <f aca="false">IF(A6="","",IF(OR(J6=Manifest!$C$4,K6=Manifest!$C$4),MAX(T$4:T5)+1,""))</f>
        <v/>
      </c>
    </row>
    <row r="7" customFormat="false" ht="16.4" hidden="false" customHeight="false" outlineLevel="0" collapsed="false">
      <c r="A7" s="0" t="s">
        <v>130</v>
      </c>
      <c r="B7" s="0" t="s">
        <v>131</v>
      </c>
      <c r="C7" s="14" t="s">
        <v>132</v>
      </c>
      <c r="D7" s="10" t="s">
        <v>133</v>
      </c>
      <c r="E7" s="14" t="s">
        <v>61</v>
      </c>
      <c r="F7" s="14" t="s">
        <v>70</v>
      </c>
      <c r="G7" s="14" t="s">
        <v>43</v>
      </c>
      <c r="H7" s="14" t="s">
        <v>134</v>
      </c>
      <c r="M7" s="12"/>
      <c r="O7" s="15" t="str">
        <f aca="false">IF(OR(M7="",N7=""),"",M7+N7)</f>
        <v/>
      </c>
      <c r="P7" s="16" t="str">
        <f aca="true">IF(O7="","",O7-TODAY())</f>
        <v/>
      </c>
      <c r="Q7" s="17" t="str">
        <f aca="false">IF(A7="","",TRIM(IF(E7="","No owner. ","")&amp;IF(F7="","No storage location. ","")&amp;IF(D7="","Serial missing. ","")&amp;IF(OR(H7="",H7="Undecided"),"No disposition. ","")&amp;IF(AND(H7="Ship",J7="",K7=""),"Shipping but no container/vehicle. ","")&amp;IF(AND(J7&lt;&gt;"",K7&lt;&gt;""),"In both a container and a vehicle. ","")&amp;IF(AND(H7="Ship",L7=""),"No destination. ","")&amp;IF(AND(J7&lt;&gt;"",L7&lt;&gt;"",IFERROR(VLOOKUP(J7,Containers!$A$5:$F$60,6,FALSE()),L7)&lt;&gt;L7),"Destination differs from container. ","")&amp;IF(AND(K7&lt;&gt;"",L7&lt;&gt;"",IFERROR(VLOOKUP(K7,Vehicles!$A$5:$F$60,6,FALSE()),L7)&lt;&gt;L7),"Destination differs from vehicle. ","")&amp;IF(AND(H7="Stay",OR(J7&lt;&gt;"",K7&lt;&gt;"",L7&lt;&gt;"")),"Marked Stay but has a container/vehicle/destination. ","")&amp;IF(G7="Missing","Reported missing. ","")&amp;IF(AND(P7&lt;&gt;"",N(P7)&lt;0),"Service overdue. ","")))</f>
        <v>No disposition.</v>
      </c>
      <c r="S7" s="17" t="str">
        <f aca="false">IF(A7="","",IF(CHOOSE(MATCH(Find!$C$4,Lists!$K$2:$K$7,0),F7,E7,J7,K7,L7,G7)=Find!$C$5,MAX(S$4:S6)+1,""))</f>
        <v/>
      </c>
      <c r="T7" s="17" t="str">
        <f aca="false">IF(A7="","",IF(OR(J7=Manifest!$C$4,K7=Manifest!$C$4),MAX(T$4:T6)+1,""))</f>
        <v/>
      </c>
    </row>
    <row r="8" customFormat="false" ht="16.4" hidden="false" customHeight="false" outlineLevel="0" collapsed="false">
      <c r="A8" s="0" t="s">
        <v>135</v>
      </c>
      <c r="B8" s="0" t="s">
        <v>136</v>
      </c>
      <c r="C8" s="14" t="s">
        <v>137</v>
      </c>
      <c r="D8" s="10" t="s">
        <v>138</v>
      </c>
      <c r="E8" s="14" t="s">
        <v>80</v>
      </c>
      <c r="F8" s="14" t="s">
        <v>63</v>
      </c>
      <c r="G8" s="14" t="s">
        <v>34</v>
      </c>
      <c r="H8" s="14" t="s">
        <v>123</v>
      </c>
      <c r="M8" s="12"/>
      <c r="O8" s="15" t="str">
        <f aca="false">IF(OR(M8="",N8=""),"",M8+N8)</f>
        <v/>
      </c>
      <c r="P8" s="16" t="str">
        <f aca="true">IF(O8="","",O8-TODAY())</f>
        <v/>
      </c>
      <c r="Q8" s="17" t="str">
        <f aca="false">IF(A8="","",TRIM(IF(E8="","No owner. ","")&amp;IF(F8="","No storage location. ","")&amp;IF(D8="","Serial missing. ","")&amp;IF(OR(H8="",H8="Undecided"),"No disposition. ","")&amp;IF(AND(H8="Ship",J8="",K8=""),"Shipping but no container/vehicle. ","")&amp;IF(AND(J8&lt;&gt;"",K8&lt;&gt;""),"In both a container and a vehicle. ","")&amp;IF(AND(H8="Ship",L8=""),"No destination. ","")&amp;IF(AND(J8&lt;&gt;"",L8&lt;&gt;"",IFERROR(VLOOKUP(J8,Containers!$A$5:$F$60,6,FALSE()),L8)&lt;&gt;L8),"Destination differs from container. ","")&amp;IF(AND(K8&lt;&gt;"",L8&lt;&gt;"",IFERROR(VLOOKUP(K8,Vehicles!$A$5:$F$60,6,FALSE()),L8)&lt;&gt;L8),"Destination differs from vehicle. ","")&amp;IF(AND(H8="Stay",OR(J8&lt;&gt;"",K8&lt;&gt;"",L8&lt;&gt;"")),"Marked Stay but has a container/vehicle/destination. ","")&amp;IF(G8="Missing","Reported missing. ","")&amp;IF(AND(P8&lt;&gt;"",N(P8)&lt;0),"Service overdue. ","")))</f>
        <v/>
      </c>
      <c r="S8" s="17" t="str">
        <f aca="false">IF(A8="","",IF(CHOOSE(MATCH(Find!$C$4,Lists!$K$2:$K$7,0),F8,E8,J8,K8,L8,G8)=Find!$C$5,MAX(S$4:S7)+1,""))</f>
        <v/>
      </c>
      <c r="T8" s="17" t="str">
        <f aca="false">IF(A8="","",IF(OR(J8=Manifest!$C$4,K8=Manifest!$C$4),MAX(T$4:T7)+1,""))</f>
        <v/>
      </c>
    </row>
    <row r="9" customFormat="false" ht="16.4" hidden="false" customHeight="false" outlineLevel="0" collapsed="false">
      <c r="A9" s="0" t="s">
        <v>139</v>
      </c>
      <c r="B9" s="0" t="s">
        <v>140</v>
      </c>
      <c r="C9" s="14" t="s">
        <v>141</v>
      </c>
      <c r="D9" s="10" t="s">
        <v>142</v>
      </c>
      <c r="E9" s="14" t="s">
        <v>80</v>
      </c>
      <c r="F9" s="14" t="s">
        <v>72</v>
      </c>
      <c r="G9" s="14" t="s">
        <v>38</v>
      </c>
      <c r="H9" s="14" t="s">
        <v>128</v>
      </c>
      <c r="I9" s="0" t="s">
        <v>98</v>
      </c>
      <c r="K9" s="0" t="s">
        <v>143</v>
      </c>
      <c r="L9" s="0" t="s">
        <v>44</v>
      </c>
      <c r="M9" s="12"/>
      <c r="O9" s="15" t="str">
        <f aca="false">IF(OR(M9="",N9=""),"",M9+N9)</f>
        <v/>
      </c>
      <c r="P9" s="16" t="str">
        <f aca="true">IF(O9="","",O9-TODAY())</f>
        <v/>
      </c>
      <c r="Q9" s="17" t="str">
        <f aca="false">IF(A9="","",TRIM(IF(E9="","No owner. ","")&amp;IF(F9="","No storage location. ","")&amp;IF(D9="","Serial missing. ","")&amp;IF(OR(H9="",H9="Undecided"),"No disposition. ","")&amp;IF(AND(H9="Ship",J9="",K9=""),"Shipping but no container/vehicle. ","")&amp;IF(AND(J9&lt;&gt;"",K9&lt;&gt;""),"In both a container and a vehicle. ","")&amp;IF(AND(H9="Ship",L9=""),"No destination. ","")&amp;IF(AND(J9&lt;&gt;"",L9&lt;&gt;"",IFERROR(VLOOKUP(J9,Containers!$A$5:$F$60,6,FALSE()),L9)&lt;&gt;L9),"Destination differs from container. ","")&amp;IF(AND(K9&lt;&gt;"",L9&lt;&gt;"",IFERROR(VLOOKUP(K9,Vehicles!$A$5:$F$60,6,FALSE()),L9)&lt;&gt;L9),"Destination differs from vehicle. ","")&amp;IF(AND(H9="Stay",OR(J9&lt;&gt;"",K9&lt;&gt;"",L9&lt;&gt;"")),"Marked Stay but has a container/vehicle/destination. ","")&amp;IF(G9="Missing","Reported missing. ","")&amp;IF(AND(P9&lt;&gt;"",N(P9)&lt;0),"Service overdue. ","")))</f>
        <v/>
      </c>
      <c r="S9" s="17" t="str">
        <f aca="false">IF(A9="","",IF(CHOOSE(MATCH(Find!$C$4,Lists!$K$2:$K$7,0),F9,E9,J9,K9,L9,G9)=Find!$C$5,MAX(S$4:S8)+1,""))</f>
        <v/>
      </c>
      <c r="T9" s="17" t="str">
        <f aca="false">IF(A9="","",IF(OR(J9=Manifest!$C$4,K9=Manifest!$C$4),MAX(T$4:T8)+1,""))</f>
        <v/>
      </c>
    </row>
    <row r="10" customFormat="false" ht="16.4" hidden="false" customHeight="false" outlineLevel="0" collapsed="false">
      <c r="A10" s="0" t="s">
        <v>144</v>
      </c>
      <c r="B10" s="0" t="s">
        <v>145</v>
      </c>
      <c r="C10" s="14" t="s">
        <v>146</v>
      </c>
      <c r="D10" s="10" t="s">
        <v>147</v>
      </c>
      <c r="E10" s="14" t="s">
        <v>75</v>
      </c>
      <c r="F10" s="14" t="s">
        <v>60</v>
      </c>
      <c r="G10" s="14" t="s">
        <v>38</v>
      </c>
      <c r="H10" s="14" t="s">
        <v>128</v>
      </c>
      <c r="I10" s="0" t="s">
        <v>98</v>
      </c>
      <c r="K10" s="0" t="s">
        <v>148</v>
      </c>
      <c r="L10" s="0" t="s">
        <v>39</v>
      </c>
      <c r="M10" s="12" t="n">
        <v>45983</v>
      </c>
      <c r="N10" s="0" t="n">
        <v>90</v>
      </c>
      <c r="O10" s="15" t="n">
        <f aca="false">IF(OR(M10="",N10=""),"",M10+N10)</f>
        <v>46073</v>
      </c>
      <c r="P10" s="16" t="n">
        <f aca="true">IF(O10="","",O10-TODAY())</f>
        <v>-251</v>
      </c>
      <c r="Q10" s="17" t="str">
        <f aca="false">IF(A10="","",TRIM(IF(E10="","No owner. ","")&amp;IF(F10="","No storage location. ","")&amp;IF(D10="","Serial missing. ","")&amp;IF(OR(H10="",H10="Undecided"),"No disposition. ","")&amp;IF(AND(H10="Ship",J10="",K10=""),"Shipping but no container/vehicle. ","")&amp;IF(AND(J10&lt;&gt;"",K10&lt;&gt;""),"In both a container and a vehicle. ","")&amp;IF(AND(H10="Ship",L10=""),"No destination. ","")&amp;IF(AND(J10&lt;&gt;"",L10&lt;&gt;"",IFERROR(VLOOKUP(J10,Containers!$A$5:$F$60,6,FALSE()),L10)&lt;&gt;L10),"Destination differs from container. ","")&amp;IF(AND(K10&lt;&gt;"",L10&lt;&gt;"",IFERROR(VLOOKUP(K10,Vehicles!$A$5:$F$60,6,FALSE()),L10)&lt;&gt;L10),"Destination differs from vehicle. ","")&amp;IF(AND(H10="Stay",OR(J10&lt;&gt;"",K10&lt;&gt;"",L10&lt;&gt;"")),"Marked Stay but has a container/vehicle/destination. ","")&amp;IF(G10="Missing","Reported missing. ","")&amp;IF(AND(P10&lt;&gt;"",N(P10)&lt;0),"Service overdue. ","")))</f>
        <v>Service overdue.</v>
      </c>
      <c r="S10" s="17" t="str">
        <f aca="false">IF(A10="","",IF(CHOOSE(MATCH(Find!$C$4,Lists!$K$2:$K$7,0),F10,E10,J10,K10,L10,G10)=Find!$C$5,MAX(S$4:S9)+1,""))</f>
        <v/>
      </c>
      <c r="T10" s="17" t="str">
        <f aca="false">IF(A10="","",IF(OR(J10=Manifest!$C$4,K10=Manifest!$C$4),MAX(T$4:T9)+1,""))</f>
        <v/>
      </c>
    </row>
    <row r="11" customFormat="false" ht="16.4" hidden="false" customHeight="false" outlineLevel="0" collapsed="false">
      <c r="A11" s="0" t="s">
        <v>149</v>
      </c>
      <c r="B11" s="0" t="s">
        <v>150</v>
      </c>
      <c r="C11" s="14" t="s">
        <v>151</v>
      </c>
      <c r="D11" s="10" t="s">
        <v>152</v>
      </c>
      <c r="E11" s="14" t="s">
        <v>75</v>
      </c>
      <c r="F11" s="14" t="s">
        <v>67</v>
      </c>
      <c r="G11" s="14" t="s">
        <v>32</v>
      </c>
      <c r="H11" s="14" t="s">
        <v>128</v>
      </c>
      <c r="I11" s="0" t="s">
        <v>97</v>
      </c>
      <c r="J11" s="0" t="s">
        <v>102</v>
      </c>
      <c r="L11" s="0" t="s">
        <v>39</v>
      </c>
      <c r="M11" s="12" t="n">
        <v>45967</v>
      </c>
      <c r="N11" s="0" t="n">
        <v>180</v>
      </c>
      <c r="O11" s="15" t="n">
        <f aca="false">IF(OR(M11="",N11=""),"",M11+N11)</f>
        <v>46147</v>
      </c>
      <c r="P11" s="16" t="n">
        <f aca="true">IF(O11="","",O11-TODAY())</f>
        <v>-177</v>
      </c>
      <c r="Q11" s="17" t="str">
        <f aca="false">IF(A11="","",TRIM(IF(E11="","No owner. ","")&amp;IF(F11="","No storage location. ","")&amp;IF(D11="","Serial missing. ","")&amp;IF(OR(H11="",H11="Undecided"),"No disposition. ","")&amp;IF(AND(H11="Ship",J11="",K11=""),"Shipping but no container/vehicle. ","")&amp;IF(AND(J11&lt;&gt;"",K11&lt;&gt;""),"In both a container and a vehicle. ","")&amp;IF(AND(H11="Ship",L11=""),"No destination. ","")&amp;IF(AND(J11&lt;&gt;"",L11&lt;&gt;"",IFERROR(VLOOKUP(J11,Containers!$A$5:$F$60,6,FALSE()),L11)&lt;&gt;L11),"Destination differs from container. ","")&amp;IF(AND(K11&lt;&gt;"",L11&lt;&gt;"",IFERROR(VLOOKUP(K11,Vehicles!$A$5:$F$60,6,FALSE()),L11)&lt;&gt;L11),"Destination differs from vehicle. ","")&amp;IF(AND(H11="Stay",OR(J11&lt;&gt;"",K11&lt;&gt;"",L11&lt;&gt;"")),"Marked Stay but has a container/vehicle/destination. ","")&amp;IF(G11="Missing","Reported missing. ","")&amp;IF(AND(P11&lt;&gt;"",N(P11)&lt;0),"Service overdue. ","")))</f>
        <v>Destination differs from container. Service overdue.</v>
      </c>
      <c r="S11" s="17" t="str">
        <f aca="false">IF(A11="","",IF(CHOOSE(MATCH(Find!$C$4,Lists!$K$2:$K$7,0),F11,E11,J11,K11,L11,G11)=Find!$C$5,MAX(S$4:S10)+1,""))</f>
        <v/>
      </c>
      <c r="T11" s="17" t="n">
        <f aca="false">IF(A11="","",IF(OR(J11=Manifest!$C$4,K11=Manifest!$C$4),MAX(T$4:T10)+1,""))</f>
        <v>1</v>
      </c>
    </row>
    <row r="12" customFormat="false" ht="16.4" hidden="false" customHeight="false" outlineLevel="0" collapsed="false">
      <c r="A12" s="0" t="s">
        <v>153</v>
      </c>
      <c r="B12" s="0" t="s">
        <v>154</v>
      </c>
      <c r="C12" s="14" t="s">
        <v>155</v>
      </c>
      <c r="D12" s="10" t="s">
        <v>156</v>
      </c>
      <c r="E12" s="14" t="s">
        <v>78</v>
      </c>
      <c r="F12" s="14" t="s">
        <v>57</v>
      </c>
      <c r="G12" s="14" t="s">
        <v>38</v>
      </c>
      <c r="H12" s="14" t="s">
        <v>128</v>
      </c>
      <c r="I12" s="0" t="s">
        <v>98</v>
      </c>
      <c r="K12" s="0" t="s">
        <v>157</v>
      </c>
      <c r="L12" s="0" t="s">
        <v>44</v>
      </c>
      <c r="M12" s="12"/>
      <c r="O12" s="15" t="str">
        <f aca="false">IF(OR(M12="",N12=""),"",M12+N12)</f>
        <v/>
      </c>
      <c r="P12" s="16" t="str">
        <f aca="true">IF(O12="","",O12-TODAY())</f>
        <v/>
      </c>
      <c r="Q12" s="17" t="str">
        <f aca="false">IF(A12="","",TRIM(IF(E12="","No owner. ","")&amp;IF(F12="","No storage location. ","")&amp;IF(D12="","Serial missing. ","")&amp;IF(OR(H12="",H12="Undecided"),"No disposition. ","")&amp;IF(AND(H12="Ship",J12="",K12=""),"Shipping but no container/vehicle. ","")&amp;IF(AND(J12&lt;&gt;"",K12&lt;&gt;""),"In both a container and a vehicle. ","")&amp;IF(AND(H12="Ship",L12=""),"No destination. ","")&amp;IF(AND(J12&lt;&gt;"",L12&lt;&gt;"",IFERROR(VLOOKUP(J12,Containers!$A$5:$F$60,6,FALSE()),L12)&lt;&gt;L12),"Destination differs from container. ","")&amp;IF(AND(K12&lt;&gt;"",L12&lt;&gt;"",IFERROR(VLOOKUP(K12,Vehicles!$A$5:$F$60,6,FALSE()),L12)&lt;&gt;L12),"Destination differs from vehicle. ","")&amp;IF(AND(H12="Stay",OR(J12&lt;&gt;"",K12&lt;&gt;"",L12&lt;&gt;"")),"Marked Stay but has a container/vehicle/destination. ","")&amp;IF(G12="Missing","Reported missing. ","")&amp;IF(AND(P12&lt;&gt;"",N(P12)&lt;0),"Service overdue. ","")))</f>
        <v/>
      </c>
      <c r="S12" s="17" t="n">
        <f aca="false">IF(A12="","",IF(CHOOSE(MATCH(Find!$C$4,Lists!$K$2:$K$7,0),F12,E12,J12,K12,L12,G12)=Find!$C$5,MAX(S$4:S11)+1,""))</f>
        <v>1</v>
      </c>
      <c r="T12" s="17" t="str">
        <f aca="false">IF(A12="","",IF(OR(J12=Manifest!$C$4,K12=Manifest!$C$4),MAX(T$4:T11)+1,""))</f>
        <v/>
      </c>
    </row>
    <row r="13" customFormat="false" ht="16.4" hidden="false" customHeight="false" outlineLevel="0" collapsed="false">
      <c r="A13" s="0" t="s">
        <v>158</v>
      </c>
      <c r="B13" s="0" t="s">
        <v>159</v>
      </c>
      <c r="C13" s="14" t="s">
        <v>160</v>
      </c>
      <c r="D13" s="10" t="s">
        <v>161</v>
      </c>
      <c r="E13" s="14" t="s">
        <v>68</v>
      </c>
      <c r="F13" s="14" t="s">
        <v>82</v>
      </c>
      <c r="G13" s="14" t="s">
        <v>38</v>
      </c>
      <c r="H13" s="14" t="s">
        <v>128</v>
      </c>
      <c r="I13" s="0" t="s">
        <v>97</v>
      </c>
      <c r="J13" s="0" t="s">
        <v>102</v>
      </c>
      <c r="L13" s="0" t="s">
        <v>31</v>
      </c>
      <c r="M13" s="12" t="n">
        <v>45970</v>
      </c>
      <c r="N13" s="0" t="n">
        <v>365</v>
      </c>
      <c r="O13" s="15" t="n">
        <f aca="false">IF(OR(M13="",N13=""),"",M13+N13)</f>
        <v>46335</v>
      </c>
      <c r="P13" s="16" t="n">
        <f aca="true">IF(O13="","",O13-TODAY())</f>
        <v>11</v>
      </c>
      <c r="Q13" s="17" t="str">
        <f aca="false">IF(A13="","",TRIM(IF(E13="","No owner. ","")&amp;IF(F13="","No storage location. ","")&amp;IF(D13="","Serial missing. ","")&amp;IF(OR(H13="",H13="Undecided"),"No disposition. ","")&amp;IF(AND(H13="Ship",J13="",K13=""),"Shipping but no container/vehicle. ","")&amp;IF(AND(J13&lt;&gt;"",K13&lt;&gt;""),"In both a container and a vehicle. ","")&amp;IF(AND(H13="Ship",L13=""),"No destination. ","")&amp;IF(AND(J13&lt;&gt;"",L13&lt;&gt;"",IFERROR(VLOOKUP(J13,Containers!$A$5:$F$60,6,FALSE()),L13)&lt;&gt;L13),"Destination differs from container. ","")&amp;IF(AND(K13&lt;&gt;"",L13&lt;&gt;"",IFERROR(VLOOKUP(K13,Vehicles!$A$5:$F$60,6,FALSE()),L13)&lt;&gt;L13),"Destination differs from vehicle. ","")&amp;IF(AND(H13="Stay",OR(J13&lt;&gt;"",K13&lt;&gt;"",L13&lt;&gt;"")),"Marked Stay but has a container/vehicle/destination. ","")&amp;IF(G13="Missing","Reported missing. ","")&amp;IF(AND(P13&lt;&gt;"",N(P13)&lt;0),"Service overdue. ","")))</f>
        <v/>
      </c>
      <c r="S13" s="17" t="str">
        <f aca="false">IF(A13="","",IF(CHOOSE(MATCH(Find!$C$4,Lists!$K$2:$K$7,0),F13,E13,J13,K13,L13,G13)=Find!$C$5,MAX(S$4:S12)+1,""))</f>
        <v/>
      </c>
      <c r="T13" s="17" t="n">
        <f aca="false">IF(A13="","",IF(OR(J13=Manifest!$C$4,K13=Manifest!$C$4),MAX(T$4:T12)+1,""))</f>
        <v>2</v>
      </c>
    </row>
    <row r="14" customFormat="false" ht="16.4" hidden="false" customHeight="false" outlineLevel="0" collapsed="false">
      <c r="A14" s="0" t="s">
        <v>162</v>
      </c>
      <c r="B14" s="0" t="s">
        <v>163</v>
      </c>
      <c r="C14" s="14" t="s">
        <v>164</v>
      </c>
      <c r="D14" s="10" t="s">
        <v>165</v>
      </c>
      <c r="E14" s="14" t="s">
        <v>71</v>
      </c>
      <c r="F14" s="14" t="s">
        <v>63</v>
      </c>
      <c r="G14" s="14" t="s">
        <v>34</v>
      </c>
      <c r="H14" s="14" t="s">
        <v>123</v>
      </c>
      <c r="M14" s="12"/>
      <c r="O14" s="15" t="str">
        <f aca="false">IF(OR(M14="",N14=""),"",M14+N14)</f>
        <v/>
      </c>
      <c r="P14" s="16" t="str">
        <f aca="true">IF(O14="","",O14-TODAY())</f>
        <v/>
      </c>
      <c r="Q14" s="17" t="str">
        <f aca="false">IF(A14="","",TRIM(IF(E14="","No owner. ","")&amp;IF(F14="","No storage location. ","")&amp;IF(D14="","Serial missing. ","")&amp;IF(OR(H14="",H14="Undecided"),"No disposition. ","")&amp;IF(AND(H14="Ship",J14="",K14=""),"Shipping but no container/vehicle. ","")&amp;IF(AND(J14&lt;&gt;"",K14&lt;&gt;""),"In both a container and a vehicle. ","")&amp;IF(AND(H14="Ship",L14=""),"No destination. ","")&amp;IF(AND(J14&lt;&gt;"",L14&lt;&gt;"",IFERROR(VLOOKUP(J14,Containers!$A$5:$F$60,6,FALSE()),L14)&lt;&gt;L14),"Destination differs from container. ","")&amp;IF(AND(K14&lt;&gt;"",L14&lt;&gt;"",IFERROR(VLOOKUP(K14,Vehicles!$A$5:$F$60,6,FALSE()),L14)&lt;&gt;L14),"Destination differs from vehicle. ","")&amp;IF(AND(H14="Stay",OR(J14&lt;&gt;"",K14&lt;&gt;"",L14&lt;&gt;"")),"Marked Stay but has a container/vehicle/destination. ","")&amp;IF(G14="Missing","Reported missing. ","")&amp;IF(AND(P14&lt;&gt;"",N(P14)&lt;0),"Service overdue. ","")))</f>
        <v/>
      </c>
      <c r="S14" s="17" t="str">
        <f aca="false">IF(A14="","",IF(CHOOSE(MATCH(Find!$C$4,Lists!$K$2:$K$7,0),F14,E14,J14,K14,L14,G14)=Find!$C$5,MAX(S$4:S13)+1,""))</f>
        <v/>
      </c>
      <c r="T14" s="17" t="str">
        <f aca="false">IF(A14="","",IF(OR(J14=Manifest!$C$4,K14=Manifest!$C$4),MAX(T$4:T13)+1,""))</f>
        <v/>
      </c>
    </row>
    <row r="15" customFormat="false" ht="16.4" hidden="false" customHeight="false" outlineLevel="0" collapsed="false">
      <c r="A15" s="0" t="s">
        <v>166</v>
      </c>
      <c r="B15" s="0" t="s">
        <v>167</v>
      </c>
      <c r="C15" s="14" t="s">
        <v>168</v>
      </c>
      <c r="D15" s="10" t="s">
        <v>169</v>
      </c>
      <c r="E15" s="14" t="s">
        <v>66</v>
      </c>
      <c r="F15" s="14" t="s">
        <v>79</v>
      </c>
      <c r="G15" s="14" t="s">
        <v>35</v>
      </c>
      <c r="H15" s="14" t="s">
        <v>128</v>
      </c>
      <c r="I15" s="0" t="s">
        <v>97</v>
      </c>
      <c r="J15" s="0" t="s">
        <v>170</v>
      </c>
      <c r="L15" s="0" t="s">
        <v>44</v>
      </c>
      <c r="M15" s="12" t="n">
        <v>46312</v>
      </c>
      <c r="N15" s="0" t="n">
        <v>365</v>
      </c>
      <c r="O15" s="15" t="n">
        <f aca="false">IF(OR(M15="",N15=""),"",M15+N15)</f>
        <v>46677</v>
      </c>
      <c r="P15" s="16" t="n">
        <f aca="true">IF(O15="","",O15-TODAY())</f>
        <v>353</v>
      </c>
      <c r="Q15" s="17" t="str">
        <f aca="false">IF(A15="","",TRIM(IF(E15="","No owner. ","")&amp;IF(F15="","No storage location. ","")&amp;IF(D15="","Serial missing. ","")&amp;IF(OR(H15="",H15="Undecided"),"No disposition. ","")&amp;IF(AND(H15="Ship",J15="",K15=""),"Shipping but no container/vehicle. ","")&amp;IF(AND(J15&lt;&gt;"",K15&lt;&gt;""),"In both a container and a vehicle. ","")&amp;IF(AND(H15="Ship",L15=""),"No destination. ","")&amp;IF(AND(J15&lt;&gt;"",L15&lt;&gt;"",IFERROR(VLOOKUP(J15,Containers!$A$5:$F$60,6,FALSE()),L15)&lt;&gt;L15),"Destination differs from container. ","")&amp;IF(AND(K15&lt;&gt;"",L15&lt;&gt;"",IFERROR(VLOOKUP(K15,Vehicles!$A$5:$F$60,6,FALSE()),L15)&lt;&gt;L15),"Destination differs from vehicle. ","")&amp;IF(AND(H15="Stay",OR(J15&lt;&gt;"",K15&lt;&gt;"",L15&lt;&gt;"")),"Marked Stay but has a container/vehicle/destination. ","")&amp;IF(G15="Missing","Reported missing. ","")&amp;IF(AND(P15&lt;&gt;"",N(P15)&lt;0),"Service overdue. ","")))</f>
        <v/>
      </c>
      <c r="S15" s="17" t="str">
        <f aca="false">IF(A15="","",IF(CHOOSE(MATCH(Find!$C$4,Lists!$K$2:$K$7,0),F15,E15,J15,K15,L15,G15)=Find!$C$5,MAX(S$4:S14)+1,""))</f>
        <v/>
      </c>
      <c r="T15" s="17" t="str">
        <f aca="false">IF(A15="","",IF(OR(J15=Manifest!$C$4,K15=Manifest!$C$4),MAX(T$4:T14)+1,""))</f>
        <v/>
      </c>
    </row>
    <row r="16" customFormat="false" ht="16.4" hidden="false" customHeight="false" outlineLevel="0" collapsed="false">
      <c r="A16" s="0" t="s">
        <v>171</v>
      </c>
      <c r="B16" s="0" t="s">
        <v>172</v>
      </c>
      <c r="C16" s="14" t="s">
        <v>173</v>
      </c>
      <c r="D16" s="10" t="s">
        <v>174</v>
      </c>
      <c r="E16" s="14" t="s">
        <v>66</v>
      </c>
      <c r="F16" s="14" t="s">
        <v>65</v>
      </c>
      <c r="G16" s="14" t="s">
        <v>30</v>
      </c>
      <c r="H16" s="14" t="s">
        <v>128</v>
      </c>
      <c r="L16" s="0" t="s">
        <v>33</v>
      </c>
      <c r="M16" s="12"/>
      <c r="O16" s="15" t="str">
        <f aca="false">IF(OR(M16="",N16=""),"",M16+N16)</f>
        <v/>
      </c>
      <c r="P16" s="16" t="str">
        <f aca="true">IF(O16="","",O16-TODAY())</f>
        <v/>
      </c>
      <c r="Q16" s="17" t="str">
        <f aca="false">IF(A16="","",TRIM(IF(E16="","No owner. ","")&amp;IF(F16="","No storage location. ","")&amp;IF(D16="","Serial missing. ","")&amp;IF(OR(H16="",H16="Undecided"),"No disposition. ","")&amp;IF(AND(H16="Ship",J16="",K16=""),"Shipping but no container/vehicle. ","")&amp;IF(AND(J16&lt;&gt;"",K16&lt;&gt;""),"In both a container and a vehicle. ","")&amp;IF(AND(H16="Ship",L16=""),"No destination. ","")&amp;IF(AND(J16&lt;&gt;"",L16&lt;&gt;"",IFERROR(VLOOKUP(J16,Containers!$A$5:$F$60,6,FALSE()),L16)&lt;&gt;L16),"Destination differs from container. ","")&amp;IF(AND(K16&lt;&gt;"",L16&lt;&gt;"",IFERROR(VLOOKUP(K16,Vehicles!$A$5:$F$60,6,FALSE()),L16)&lt;&gt;L16),"Destination differs from vehicle. ","")&amp;IF(AND(H16="Stay",OR(J16&lt;&gt;"",K16&lt;&gt;"",L16&lt;&gt;"")),"Marked Stay but has a container/vehicle/destination. ","")&amp;IF(G16="Missing","Reported missing. ","")&amp;IF(AND(P16&lt;&gt;"",N(P16)&lt;0),"Service overdue. ","")))</f>
        <v>Shipping but no container/vehicle.</v>
      </c>
      <c r="S16" s="17" t="str">
        <f aca="false">IF(A16="","",IF(CHOOSE(MATCH(Find!$C$4,Lists!$K$2:$K$7,0),F16,E16,J16,K16,L16,G16)=Find!$C$5,MAX(S$4:S15)+1,""))</f>
        <v/>
      </c>
      <c r="T16" s="17" t="str">
        <f aca="false">IF(A16="","",IF(OR(J16=Manifest!$C$4,K16=Manifest!$C$4),MAX(T$4:T15)+1,""))</f>
        <v/>
      </c>
    </row>
    <row r="17" customFormat="false" ht="16.4" hidden="false" customHeight="false" outlineLevel="0" collapsed="false">
      <c r="A17" s="0" t="s">
        <v>175</v>
      </c>
      <c r="B17" s="0" t="s">
        <v>176</v>
      </c>
      <c r="C17" s="14" t="s">
        <v>121</v>
      </c>
      <c r="D17" s="10" t="s">
        <v>177</v>
      </c>
      <c r="E17" s="14" t="s">
        <v>75</v>
      </c>
      <c r="F17" s="14" t="s">
        <v>67</v>
      </c>
      <c r="G17" s="14" t="s">
        <v>38</v>
      </c>
      <c r="H17" s="14" t="s">
        <v>128</v>
      </c>
      <c r="I17" s="0" t="s">
        <v>98</v>
      </c>
      <c r="K17" s="0" t="s">
        <v>178</v>
      </c>
      <c r="L17" s="0" t="s">
        <v>31</v>
      </c>
      <c r="M17" s="12" t="n">
        <v>46023</v>
      </c>
      <c r="N17" s="0" t="n">
        <v>180</v>
      </c>
      <c r="O17" s="15" t="n">
        <f aca="false">IF(OR(M17="",N17=""),"",M17+N17)</f>
        <v>46203</v>
      </c>
      <c r="P17" s="16" t="n">
        <f aca="true">IF(O17="","",O17-TODAY())</f>
        <v>-121</v>
      </c>
      <c r="Q17" s="17" t="str">
        <f aca="false">IF(A17="","",TRIM(IF(E17="","No owner. ","")&amp;IF(F17="","No storage location. ","")&amp;IF(D17="","Serial missing. ","")&amp;IF(OR(H17="",H17="Undecided"),"No disposition. ","")&amp;IF(AND(H17="Ship",J17="",K17=""),"Shipping but no container/vehicle. ","")&amp;IF(AND(J17&lt;&gt;"",K17&lt;&gt;""),"In both a container and a vehicle. ","")&amp;IF(AND(H17="Ship",L17=""),"No destination. ","")&amp;IF(AND(J17&lt;&gt;"",L17&lt;&gt;"",IFERROR(VLOOKUP(J17,Containers!$A$5:$F$60,6,FALSE()),L17)&lt;&gt;L17),"Destination differs from container. ","")&amp;IF(AND(K17&lt;&gt;"",L17&lt;&gt;"",IFERROR(VLOOKUP(K17,Vehicles!$A$5:$F$60,6,FALSE()),L17)&lt;&gt;L17),"Destination differs from vehicle. ","")&amp;IF(AND(H17="Stay",OR(J17&lt;&gt;"",K17&lt;&gt;"",L17&lt;&gt;"")),"Marked Stay but has a container/vehicle/destination. ","")&amp;IF(G17="Missing","Reported missing. ","")&amp;IF(AND(P17&lt;&gt;"",N(P17)&lt;0),"Service overdue. ","")))</f>
        <v>Service overdue.</v>
      </c>
      <c r="S17" s="17" t="str">
        <f aca="false">IF(A17="","",IF(CHOOSE(MATCH(Find!$C$4,Lists!$K$2:$K$7,0),F17,E17,J17,K17,L17,G17)=Find!$C$5,MAX(S$4:S16)+1,""))</f>
        <v/>
      </c>
      <c r="T17" s="17" t="str">
        <f aca="false">IF(A17="","",IF(OR(J17=Manifest!$C$4,K17=Manifest!$C$4),MAX(T$4:T16)+1,""))</f>
        <v/>
      </c>
    </row>
    <row r="18" customFormat="false" ht="16.4" hidden="false" customHeight="false" outlineLevel="0" collapsed="false">
      <c r="A18" s="0" t="s">
        <v>179</v>
      </c>
      <c r="B18" s="0" t="s">
        <v>180</v>
      </c>
      <c r="C18" s="14" t="s">
        <v>126</v>
      </c>
      <c r="D18" s="10" t="s">
        <v>181</v>
      </c>
      <c r="E18" s="14" t="s">
        <v>71</v>
      </c>
      <c r="F18" s="14" t="s">
        <v>70</v>
      </c>
      <c r="G18" s="14" t="s">
        <v>34</v>
      </c>
      <c r="H18" s="14" t="s">
        <v>123</v>
      </c>
      <c r="M18" s="12"/>
      <c r="O18" s="15" t="str">
        <f aca="false">IF(OR(M18="",N18=""),"",M18+N18)</f>
        <v/>
      </c>
      <c r="P18" s="16" t="str">
        <f aca="true">IF(O18="","",O18-TODAY())</f>
        <v/>
      </c>
      <c r="Q18" s="17" t="str">
        <f aca="false">IF(A18="","",TRIM(IF(E18="","No owner. ","")&amp;IF(F18="","No storage location. ","")&amp;IF(D18="","Serial missing. ","")&amp;IF(OR(H18="",H18="Undecided"),"No disposition. ","")&amp;IF(AND(H18="Ship",J18="",K18=""),"Shipping but no container/vehicle. ","")&amp;IF(AND(J18&lt;&gt;"",K18&lt;&gt;""),"In both a container and a vehicle. ","")&amp;IF(AND(H18="Ship",L18=""),"No destination. ","")&amp;IF(AND(J18&lt;&gt;"",L18&lt;&gt;"",IFERROR(VLOOKUP(J18,Containers!$A$5:$F$60,6,FALSE()),L18)&lt;&gt;L18),"Destination differs from container. ","")&amp;IF(AND(K18&lt;&gt;"",L18&lt;&gt;"",IFERROR(VLOOKUP(K18,Vehicles!$A$5:$F$60,6,FALSE()),L18)&lt;&gt;L18),"Destination differs from vehicle. ","")&amp;IF(AND(H18="Stay",OR(J18&lt;&gt;"",K18&lt;&gt;"",L18&lt;&gt;"")),"Marked Stay but has a container/vehicle/destination. ","")&amp;IF(G18="Missing","Reported missing. ","")&amp;IF(AND(P18&lt;&gt;"",N(P18)&lt;0),"Service overdue. ","")))</f>
        <v/>
      </c>
      <c r="S18" s="17" t="str">
        <f aca="false">IF(A18="","",IF(CHOOSE(MATCH(Find!$C$4,Lists!$K$2:$K$7,0),F18,E18,J18,K18,L18,G18)=Find!$C$5,MAX(S$4:S17)+1,""))</f>
        <v/>
      </c>
      <c r="T18" s="17" t="str">
        <f aca="false">IF(A18="","",IF(OR(J18=Manifest!$C$4,K18=Manifest!$C$4),MAX(T$4:T17)+1,""))</f>
        <v/>
      </c>
    </row>
    <row r="19" customFormat="false" ht="16.4" hidden="false" customHeight="false" outlineLevel="0" collapsed="false">
      <c r="A19" s="0" t="s">
        <v>182</v>
      </c>
      <c r="B19" s="0" t="s">
        <v>183</v>
      </c>
      <c r="C19" s="14" t="s">
        <v>132</v>
      </c>
      <c r="E19" s="14" t="s">
        <v>71</v>
      </c>
      <c r="F19" s="14" t="s">
        <v>65</v>
      </c>
      <c r="G19" s="14" t="s">
        <v>32</v>
      </c>
      <c r="H19" s="14" t="s">
        <v>128</v>
      </c>
      <c r="I19" s="0" t="s">
        <v>97</v>
      </c>
      <c r="J19" s="0" t="s">
        <v>184</v>
      </c>
      <c r="L19" s="0" t="s">
        <v>39</v>
      </c>
      <c r="M19" s="12"/>
      <c r="O19" s="15" t="str">
        <f aca="false">IF(OR(M19="",N19=""),"",M19+N19)</f>
        <v/>
      </c>
      <c r="P19" s="16" t="str">
        <f aca="true">IF(O19="","",O19-TODAY())</f>
        <v/>
      </c>
      <c r="Q19" s="17" t="str">
        <f aca="false">IF(A19="","",TRIM(IF(E19="","No owner. ","")&amp;IF(F19="","No storage location. ","")&amp;IF(D19="","Serial missing. ","")&amp;IF(OR(H19="",H19="Undecided"),"No disposition. ","")&amp;IF(AND(H19="Ship",J19="",K19=""),"Shipping but no container/vehicle. ","")&amp;IF(AND(J19&lt;&gt;"",K19&lt;&gt;""),"In both a container and a vehicle. ","")&amp;IF(AND(H19="Ship",L19=""),"No destination. ","")&amp;IF(AND(J19&lt;&gt;"",L19&lt;&gt;"",IFERROR(VLOOKUP(J19,Containers!$A$5:$F$60,6,FALSE()),L19)&lt;&gt;L19),"Destination differs from container. ","")&amp;IF(AND(K19&lt;&gt;"",L19&lt;&gt;"",IFERROR(VLOOKUP(K19,Vehicles!$A$5:$F$60,6,FALSE()),L19)&lt;&gt;L19),"Destination differs from vehicle. ","")&amp;IF(AND(H19="Stay",OR(J19&lt;&gt;"",K19&lt;&gt;"",L19&lt;&gt;"")),"Marked Stay but has a container/vehicle/destination. ","")&amp;IF(G19="Missing","Reported missing. ","")&amp;IF(AND(P19&lt;&gt;"",N(P19)&lt;0),"Service overdue. ","")))</f>
        <v>Serial missing.</v>
      </c>
      <c r="S19" s="17" t="str">
        <f aca="false">IF(A19="","",IF(CHOOSE(MATCH(Find!$C$4,Lists!$K$2:$K$7,0),F19,E19,J19,K19,L19,G19)=Find!$C$5,MAX(S$4:S18)+1,""))</f>
        <v/>
      </c>
      <c r="T19" s="17" t="str">
        <f aca="false">IF(A19="","",IF(OR(J19=Manifest!$C$4,K19=Manifest!$C$4),MAX(T$4:T18)+1,""))</f>
        <v/>
      </c>
    </row>
    <row r="20" customFormat="false" ht="16.4" hidden="false" customHeight="false" outlineLevel="0" collapsed="false">
      <c r="A20" s="0" t="s">
        <v>185</v>
      </c>
      <c r="B20" s="0" t="s">
        <v>186</v>
      </c>
      <c r="C20" s="14" t="s">
        <v>137</v>
      </c>
      <c r="D20" s="10" t="s">
        <v>187</v>
      </c>
      <c r="E20" s="14" t="s">
        <v>61</v>
      </c>
      <c r="F20" s="14" t="s">
        <v>82</v>
      </c>
      <c r="G20" s="14" t="s">
        <v>32</v>
      </c>
      <c r="H20" s="14" t="s">
        <v>128</v>
      </c>
      <c r="I20" s="0" t="s">
        <v>97</v>
      </c>
      <c r="J20" s="0" t="s">
        <v>170</v>
      </c>
      <c r="L20" s="0" t="s">
        <v>44</v>
      </c>
      <c r="M20" s="12"/>
      <c r="O20" s="15" t="str">
        <f aca="false">IF(OR(M20="",N20=""),"",M20+N20)</f>
        <v/>
      </c>
      <c r="P20" s="16" t="str">
        <f aca="true">IF(O20="","",O20-TODAY())</f>
        <v/>
      </c>
      <c r="Q20" s="17" t="str">
        <f aca="false">IF(A20="","",TRIM(IF(E20="","No owner. ","")&amp;IF(F20="","No storage location. ","")&amp;IF(D20="","Serial missing. ","")&amp;IF(OR(H20="",H20="Undecided"),"No disposition. ","")&amp;IF(AND(H20="Ship",J20="",K20=""),"Shipping but no container/vehicle. ","")&amp;IF(AND(J20&lt;&gt;"",K20&lt;&gt;""),"In both a container and a vehicle. ","")&amp;IF(AND(H20="Ship",L20=""),"No destination. ","")&amp;IF(AND(J20&lt;&gt;"",L20&lt;&gt;"",IFERROR(VLOOKUP(J20,Containers!$A$5:$F$60,6,FALSE()),L20)&lt;&gt;L20),"Destination differs from container. ","")&amp;IF(AND(K20&lt;&gt;"",L20&lt;&gt;"",IFERROR(VLOOKUP(K20,Vehicles!$A$5:$F$60,6,FALSE()),L20)&lt;&gt;L20),"Destination differs from vehicle. ","")&amp;IF(AND(H20="Stay",OR(J20&lt;&gt;"",K20&lt;&gt;"",L20&lt;&gt;"")),"Marked Stay but has a container/vehicle/destination. ","")&amp;IF(G20="Missing","Reported missing. ","")&amp;IF(AND(P20&lt;&gt;"",N(P20)&lt;0),"Service overdue. ","")))</f>
        <v/>
      </c>
      <c r="S20" s="17" t="str">
        <f aca="false">IF(A20="","",IF(CHOOSE(MATCH(Find!$C$4,Lists!$K$2:$K$7,0),F20,E20,J20,K20,L20,G20)=Find!$C$5,MAX(S$4:S19)+1,""))</f>
        <v/>
      </c>
      <c r="T20" s="17" t="str">
        <f aca="false">IF(A20="","",IF(OR(J20=Manifest!$C$4,K20=Manifest!$C$4),MAX(T$4:T19)+1,""))</f>
        <v/>
      </c>
    </row>
    <row r="21" customFormat="false" ht="16.4" hidden="false" customHeight="false" outlineLevel="0" collapsed="false">
      <c r="A21" s="0" t="s">
        <v>188</v>
      </c>
      <c r="B21" s="0" t="s">
        <v>189</v>
      </c>
      <c r="C21" s="14" t="s">
        <v>141</v>
      </c>
      <c r="D21" s="10" t="s">
        <v>190</v>
      </c>
      <c r="E21" s="14" t="s">
        <v>64</v>
      </c>
      <c r="F21" s="14" t="s">
        <v>72</v>
      </c>
      <c r="G21" s="14" t="s">
        <v>30</v>
      </c>
      <c r="H21" s="14" t="s">
        <v>128</v>
      </c>
      <c r="I21" s="0" t="s">
        <v>98</v>
      </c>
      <c r="K21" s="0" t="s">
        <v>191</v>
      </c>
      <c r="L21" s="0" t="s">
        <v>39</v>
      </c>
      <c r="M21" s="12"/>
      <c r="O21" s="15" t="str">
        <f aca="false">IF(OR(M21="",N21=""),"",M21+N21)</f>
        <v/>
      </c>
      <c r="P21" s="16" t="str">
        <f aca="true">IF(O21="","",O21-TODAY())</f>
        <v/>
      </c>
      <c r="Q21" s="17" t="str">
        <f aca="false">IF(A21="","",TRIM(IF(E21="","No owner. ","")&amp;IF(F21="","No storage location. ","")&amp;IF(D21="","Serial missing. ","")&amp;IF(OR(H21="",H21="Undecided"),"No disposition. ","")&amp;IF(AND(H21="Ship",J21="",K21=""),"Shipping but no container/vehicle. ","")&amp;IF(AND(J21&lt;&gt;"",K21&lt;&gt;""),"In both a container and a vehicle. ","")&amp;IF(AND(H21="Ship",L21=""),"No destination. ","")&amp;IF(AND(J21&lt;&gt;"",L21&lt;&gt;"",IFERROR(VLOOKUP(J21,Containers!$A$5:$F$60,6,FALSE()),L21)&lt;&gt;L21),"Destination differs from container. ","")&amp;IF(AND(K21&lt;&gt;"",L21&lt;&gt;"",IFERROR(VLOOKUP(K21,Vehicles!$A$5:$F$60,6,FALSE()),L21)&lt;&gt;L21),"Destination differs from vehicle. ","")&amp;IF(AND(H21="Stay",OR(J21&lt;&gt;"",K21&lt;&gt;"",L21&lt;&gt;"")),"Marked Stay but has a container/vehicle/destination. ","")&amp;IF(G21="Missing","Reported missing. ","")&amp;IF(AND(P21&lt;&gt;"",N(P21)&lt;0),"Service overdue. ","")))</f>
        <v/>
      </c>
      <c r="S21" s="17" t="str">
        <f aca="false">IF(A21="","",IF(CHOOSE(MATCH(Find!$C$4,Lists!$K$2:$K$7,0),F21,E21,J21,K21,L21,G21)=Find!$C$5,MAX(S$4:S20)+1,""))</f>
        <v/>
      </c>
      <c r="T21" s="17" t="str">
        <f aca="false">IF(A21="","",IF(OR(J21=Manifest!$C$4,K21=Manifest!$C$4),MAX(T$4:T20)+1,""))</f>
        <v/>
      </c>
    </row>
    <row r="22" customFormat="false" ht="16.4" hidden="false" customHeight="false" outlineLevel="0" collapsed="false">
      <c r="A22" s="0" t="s">
        <v>192</v>
      </c>
      <c r="B22" s="0" t="s">
        <v>193</v>
      </c>
      <c r="C22" s="14" t="s">
        <v>146</v>
      </c>
      <c r="D22" s="10" t="s">
        <v>194</v>
      </c>
      <c r="E22" s="14" t="s">
        <v>73</v>
      </c>
      <c r="F22" s="14" t="s">
        <v>74</v>
      </c>
      <c r="G22" s="14" t="s">
        <v>34</v>
      </c>
      <c r="H22" s="14"/>
      <c r="M22" s="12" t="n">
        <v>46129</v>
      </c>
      <c r="N22" s="0" t="n">
        <v>90</v>
      </c>
      <c r="O22" s="15" t="n">
        <f aca="false">IF(OR(M22="",N22=""),"",M22+N22)</f>
        <v>46219</v>
      </c>
      <c r="P22" s="16" t="n">
        <f aca="true">IF(O22="","",O22-TODAY())</f>
        <v>-105</v>
      </c>
      <c r="Q22" s="17" t="str">
        <f aca="false">IF(A22="","",TRIM(IF(E22="","No owner. ","")&amp;IF(F22="","No storage location. ","")&amp;IF(D22="","Serial missing. ","")&amp;IF(OR(H22="",H22="Undecided"),"No disposition. ","")&amp;IF(AND(H22="Ship",J22="",K22=""),"Shipping but no container/vehicle. ","")&amp;IF(AND(J22&lt;&gt;"",K22&lt;&gt;""),"In both a container and a vehicle. ","")&amp;IF(AND(H22="Ship",L22=""),"No destination. ","")&amp;IF(AND(J22&lt;&gt;"",L22&lt;&gt;"",IFERROR(VLOOKUP(J22,Containers!$A$5:$F$60,6,FALSE()),L22)&lt;&gt;L22),"Destination differs from container. ","")&amp;IF(AND(K22&lt;&gt;"",L22&lt;&gt;"",IFERROR(VLOOKUP(K22,Vehicles!$A$5:$F$60,6,FALSE()),L22)&lt;&gt;L22),"Destination differs from vehicle. ","")&amp;IF(AND(H22="Stay",OR(J22&lt;&gt;"",K22&lt;&gt;"",L22&lt;&gt;"")),"Marked Stay but has a container/vehicle/destination. ","")&amp;IF(G22="Missing","Reported missing. ","")&amp;IF(AND(P22&lt;&gt;"",N(P22)&lt;0),"Service overdue. ","")))</f>
        <v>No disposition. Service overdue.</v>
      </c>
      <c r="S22" s="17" t="str">
        <f aca="false">IF(A22="","",IF(CHOOSE(MATCH(Find!$C$4,Lists!$K$2:$K$7,0),F22,E22,J22,K22,L22,G22)=Find!$C$5,MAX(S$4:S21)+1,""))</f>
        <v/>
      </c>
      <c r="T22" s="17" t="str">
        <f aca="false">IF(A22="","",IF(OR(J22=Manifest!$C$4,K22=Manifest!$C$4),MAX(T$4:T21)+1,""))</f>
        <v/>
      </c>
    </row>
    <row r="23" customFormat="false" ht="16.4" hidden="false" customHeight="false" outlineLevel="0" collapsed="false">
      <c r="A23" s="0" t="s">
        <v>195</v>
      </c>
      <c r="B23" s="0" t="s">
        <v>196</v>
      </c>
      <c r="C23" s="14" t="s">
        <v>151</v>
      </c>
      <c r="D23" s="10" t="s">
        <v>197</v>
      </c>
      <c r="E23" s="14" t="s">
        <v>64</v>
      </c>
      <c r="F23" s="14" t="s">
        <v>63</v>
      </c>
      <c r="G23" s="14" t="s">
        <v>34</v>
      </c>
      <c r="H23" s="14" t="s">
        <v>123</v>
      </c>
      <c r="M23" s="12" t="n">
        <v>45938</v>
      </c>
      <c r="N23" s="0" t="n">
        <v>180</v>
      </c>
      <c r="O23" s="15" t="n">
        <f aca="false">IF(OR(M23="",N23=""),"",M23+N23)</f>
        <v>46118</v>
      </c>
      <c r="P23" s="16" t="n">
        <f aca="true">IF(O23="","",O23-TODAY())</f>
        <v>-206</v>
      </c>
      <c r="Q23" s="17" t="str">
        <f aca="false">IF(A23="","",TRIM(IF(E23="","No owner. ","")&amp;IF(F23="","No storage location. ","")&amp;IF(D23="","Serial missing. ","")&amp;IF(OR(H23="",H23="Undecided"),"No disposition. ","")&amp;IF(AND(H23="Ship",J23="",K23=""),"Shipping but no container/vehicle. ","")&amp;IF(AND(J23&lt;&gt;"",K23&lt;&gt;""),"In both a container and a vehicle. ","")&amp;IF(AND(H23="Ship",L23=""),"No destination. ","")&amp;IF(AND(J23&lt;&gt;"",L23&lt;&gt;"",IFERROR(VLOOKUP(J23,Containers!$A$5:$F$60,6,FALSE()),L23)&lt;&gt;L23),"Destination differs from container. ","")&amp;IF(AND(K23&lt;&gt;"",L23&lt;&gt;"",IFERROR(VLOOKUP(K23,Vehicles!$A$5:$F$60,6,FALSE()),L23)&lt;&gt;L23),"Destination differs from vehicle. ","")&amp;IF(AND(H23="Stay",OR(J23&lt;&gt;"",K23&lt;&gt;"",L23&lt;&gt;"")),"Marked Stay but has a container/vehicle/destination. ","")&amp;IF(G23="Missing","Reported missing. ","")&amp;IF(AND(P23&lt;&gt;"",N(P23)&lt;0),"Service overdue. ","")))</f>
        <v>Service overdue.</v>
      </c>
      <c r="S23" s="17" t="str">
        <f aca="false">IF(A23="","",IF(CHOOSE(MATCH(Find!$C$4,Lists!$K$2:$K$7,0),F23,E23,J23,K23,L23,G23)=Find!$C$5,MAX(S$4:S22)+1,""))</f>
        <v/>
      </c>
      <c r="T23" s="17" t="str">
        <f aca="false">IF(A23="","",IF(OR(J23=Manifest!$C$4,K23=Manifest!$C$4),MAX(T$4:T22)+1,""))</f>
        <v/>
      </c>
    </row>
    <row r="24" customFormat="false" ht="16.4" hidden="false" customHeight="false" outlineLevel="0" collapsed="false">
      <c r="A24" s="0" t="s">
        <v>198</v>
      </c>
      <c r="B24" s="0" t="s">
        <v>199</v>
      </c>
      <c r="C24" s="14" t="s">
        <v>155</v>
      </c>
      <c r="D24" s="10" t="s">
        <v>200</v>
      </c>
      <c r="E24" s="14" t="s">
        <v>80</v>
      </c>
      <c r="F24" s="14" t="s">
        <v>74</v>
      </c>
      <c r="G24" s="14" t="s">
        <v>30</v>
      </c>
      <c r="H24" s="14" t="s">
        <v>128</v>
      </c>
      <c r="I24" s="0" t="s">
        <v>98</v>
      </c>
      <c r="K24" s="0" t="s">
        <v>201</v>
      </c>
      <c r="L24" s="0" t="s">
        <v>41</v>
      </c>
      <c r="M24" s="12"/>
      <c r="O24" s="15" t="str">
        <f aca="false">IF(OR(M24="",N24=""),"",M24+N24)</f>
        <v/>
      </c>
      <c r="P24" s="16" t="str">
        <f aca="true">IF(O24="","",O24-TODAY())</f>
        <v/>
      </c>
      <c r="Q24" s="17" t="str">
        <f aca="false">IF(A24="","",TRIM(IF(E24="","No owner. ","")&amp;IF(F24="","No storage location. ","")&amp;IF(D24="","Serial missing. ","")&amp;IF(OR(H24="",H24="Undecided"),"No disposition. ","")&amp;IF(AND(H24="Ship",J24="",K24=""),"Shipping but no container/vehicle. ","")&amp;IF(AND(J24&lt;&gt;"",K24&lt;&gt;""),"In both a container and a vehicle. ","")&amp;IF(AND(H24="Ship",L24=""),"No destination. ","")&amp;IF(AND(J24&lt;&gt;"",L24&lt;&gt;"",IFERROR(VLOOKUP(J24,Containers!$A$5:$F$60,6,FALSE()),L24)&lt;&gt;L24),"Destination differs from container. ","")&amp;IF(AND(K24&lt;&gt;"",L24&lt;&gt;"",IFERROR(VLOOKUP(K24,Vehicles!$A$5:$F$60,6,FALSE()),L24)&lt;&gt;L24),"Destination differs from vehicle. ","")&amp;IF(AND(H24="Stay",OR(J24&lt;&gt;"",K24&lt;&gt;"",L24&lt;&gt;"")),"Marked Stay but has a container/vehicle/destination. ","")&amp;IF(G24="Missing","Reported missing. ","")&amp;IF(AND(P24&lt;&gt;"",N(P24)&lt;0),"Service overdue. ","")))</f>
        <v/>
      </c>
      <c r="S24" s="17" t="str">
        <f aca="false">IF(A24="","",IF(CHOOSE(MATCH(Find!$C$4,Lists!$K$2:$K$7,0),F24,E24,J24,K24,L24,G24)=Find!$C$5,MAX(S$4:S23)+1,""))</f>
        <v/>
      </c>
      <c r="T24" s="17" t="str">
        <f aca="false">IF(A24="","",IF(OR(J24=Manifest!$C$4,K24=Manifest!$C$4),MAX(T$4:T23)+1,""))</f>
        <v/>
      </c>
    </row>
    <row r="25" customFormat="false" ht="16.4" hidden="false" customHeight="false" outlineLevel="0" collapsed="false">
      <c r="A25" s="0" t="s">
        <v>202</v>
      </c>
      <c r="B25" s="0" t="s">
        <v>203</v>
      </c>
      <c r="C25" s="14" t="s">
        <v>160</v>
      </c>
      <c r="D25" s="10" t="s">
        <v>204</v>
      </c>
      <c r="E25" s="14" t="s">
        <v>78</v>
      </c>
      <c r="F25" s="14" t="s">
        <v>77</v>
      </c>
      <c r="G25" s="14" t="s">
        <v>34</v>
      </c>
      <c r="H25" s="14" t="s">
        <v>123</v>
      </c>
      <c r="M25" s="12" t="n">
        <v>45991</v>
      </c>
      <c r="N25" s="0" t="n">
        <v>365</v>
      </c>
      <c r="O25" s="15" t="n">
        <f aca="false">IF(OR(M25="",N25=""),"",M25+N25)</f>
        <v>46356</v>
      </c>
      <c r="P25" s="16" t="n">
        <f aca="true">IF(O25="","",O25-TODAY())</f>
        <v>32</v>
      </c>
      <c r="Q25" s="17" t="str">
        <f aca="false">IF(A25="","",TRIM(IF(E25="","No owner. ","")&amp;IF(F25="","No storage location. ","")&amp;IF(D25="","Serial missing. ","")&amp;IF(OR(H25="",H25="Undecided"),"No disposition. ","")&amp;IF(AND(H25="Ship",J25="",K25=""),"Shipping but no container/vehicle. ","")&amp;IF(AND(J25&lt;&gt;"",K25&lt;&gt;""),"In both a container and a vehicle. ","")&amp;IF(AND(H25="Ship",L25=""),"No destination. ","")&amp;IF(AND(J25&lt;&gt;"",L25&lt;&gt;"",IFERROR(VLOOKUP(J25,Containers!$A$5:$F$60,6,FALSE()),L25)&lt;&gt;L25),"Destination differs from container. ","")&amp;IF(AND(K25&lt;&gt;"",L25&lt;&gt;"",IFERROR(VLOOKUP(K25,Vehicles!$A$5:$F$60,6,FALSE()),L25)&lt;&gt;L25),"Destination differs from vehicle. ","")&amp;IF(AND(H25="Stay",OR(J25&lt;&gt;"",K25&lt;&gt;"",L25&lt;&gt;"")),"Marked Stay but has a container/vehicle/destination. ","")&amp;IF(G25="Missing","Reported missing. ","")&amp;IF(AND(P25&lt;&gt;"",N(P25)&lt;0),"Service overdue. ","")))</f>
        <v/>
      </c>
      <c r="S25" s="17" t="str">
        <f aca="false">IF(A25="","",IF(CHOOSE(MATCH(Find!$C$4,Lists!$K$2:$K$7,0),F25,E25,J25,K25,L25,G25)=Find!$C$5,MAX(S$4:S24)+1,""))</f>
        <v/>
      </c>
      <c r="T25" s="17" t="str">
        <f aca="false">IF(A25="","",IF(OR(J25=Manifest!$C$4,K25=Manifest!$C$4),MAX(T$4:T24)+1,""))</f>
        <v/>
      </c>
    </row>
    <row r="26" customFormat="false" ht="16.4" hidden="false" customHeight="false" outlineLevel="0" collapsed="false">
      <c r="A26" s="0" t="s">
        <v>205</v>
      </c>
      <c r="B26" s="0" t="s">
        <v>206</v>
      </c>
      <c r="C26" s="14" t="s">
        <v>164</v>
      </c>
      <c r="D26" s="10" t="s">
        <v>207</v>
      </c>
      <c r="E26" s="14" t="s">
        <v>66</v>
      </c>
      <c r="F26" s="14" t="s">
        <v>65</v>
      </c>
      <c r="G26" s="14" t="s">
        <v>32</v>
      </c>
      <c r="H26" s="14" t="s">
        <v>128</v>
      </c>
      <c r="I26" s="0" t="s">
        <v>97</v>
      </c>
      <c r="J26" s="0" t="s">
        <v>208</v>
      </c>
      <c r="L26" s="0" t="s">
        <v>36</v>
      </c>
      <c r="M26" s="12"/>
      <c r="O26" s="15" t="str">
        <f aca="false">IF(OR(M26="",N26=""),"",M26+N26)</f>
        <v/>
      </c>
      <c r="P26" s="16" t="str">
        <f aca="true">IF(O26="","",O26-TODAY())</f>
        <v/>
      </c>
      <c r="Q26" s="17" t="str">
        <f aca="false">IF(A26="","",TRIM(IF(E26="","No owner. ","")&amp;IF(F26="","No storage location. ","")&amp;IF(D26="","Serial missing. ","")&amp;IF(OR(H26="",H26="Undecided"),"No disposition. ","")&amp;IF(AND(H26="Ship",J26="",K26=""),"Shipping but no container/vehicle. ","")&amp;IF(AND(J26&lt;&gt;"",K26&lt;&gt;""),"In both a container and a vehicle. ","")&amp;IF(AND(H26="Ship",L26=""),"No destination. ","")&amp;IF(AND(J26&lt;&gt;"",L26&lt;&gt;"",IFERROR(VLOOKUP(J26,Containers!$A$5:$F$60,6,FALSE()),L26)&lt;&gt;L26),"Destination differs from container. ","")&amp;IF(AND(K26&lt;&gt;"",L26&lt;&gt;"",IFERROR(VLOOKUP(K26,Vehicles!$A$5:$F$60,6,FALSE()),L26)&lt;&gt;L26),"Destination differs from vehicle. ","")&amp;IF(AND(H26="Stay",OR(J26&lt;&gt;"",K26&lt;&gt;"",L26&lt;&gt;"")),"Marked Stay but has a container/vehicle/destination. ","")&amp;IF(G26="Missing","Reported missing. ","")&amp;IF(AND(P26&lt;&gt;"",N(P26)&lt;0),"Service overdue. ","")))</f>
        <v/>
      </c>
      <c r="S26" s="17" t="str">
        <f aca="false">IF(A26="","",IF(CHOOSE(MATCH(Find!$C$4,Lists!$K$2:$K$7,0),F26,E26,J26,K26,L26,G26)=Find!$C$5,MAX(S$4:S25)+1,""))</f>
        <v/>
      </c>
      <c r="T26" s="17" t="str">
        <f aca="false">IF(A26="","",IF(OR(J26=Manifest!$C$4,K26=Manifest!$C$4),MAX(T$4:T25)+1,""))</f>
        <v/>
      </c>
    </row>
    <row r="27" customFormat="false" ht="16.4" hidden="false" customHeight="false" outlineLevel="0" collapsed="false">
      <c r="A27" s="0" t="s">
        <v>209</v>
      </c>
      <c r="B27" s="0" t="s">
        <v>210</v>
      </c>
      <c r="C27" s="14" t="s">
        <v>168</v>
      </c>
      <c r="D27" s="10" t="s">
        <v>211</v>
      </c>
      <c r="E27" s="14" t="s">
        <v>71</v>
      </c>
      <c r="F27" s="14" t="s">
        <v>67</v>
      </c>
      <c r="G27" s="14" t="s">
        <v>35</v>
      </c>
      <c r="H27" s="14" t="s">
        <v>128</v>
      </c>
      <c r="I27" s="0" t="s">
        <v>97</v>
      </c>
      <c r="J27" s="0" t="s">
        <v>184</v>
      </c>
      <c r="L27" s="0" t="s">
        <v>39</v>
      </c>
      <c r="M27" s="12" t="n">
        <v>46202</v>
      </c>
      <c r="N27" s="0" t="n">
        <v>365</v>
      </c>
      <c r="O27" s="15" t="n">
        <f aca="false">IF(OR(M27="",N27=""),"",M27+N27)</f>
        <v>46567</v>
      </c>
      <c r="P27" s="16" t="n">
        <f aca="true">IF(O27="","",O27-TODAY())</f>
        <v>243</v>
      </c>
      <c r="Q27" s="17" t="str">
        <f aca="false">IF(A27="","",TRIM(IF(E27="","No owner. ","")&amp;IF(F27="","No storage location. ","")&amp;IF(D27="","Serial missing. ","")&amp;IF(OR(H27="",H27="Undecided"),"No disposition. ","")&amp;IF(AND(H27="Ship",J27="",K27=""),"Shipping but no container/vehicle. ","")&amp;IF(AND(J27&lt;&gt;"",K27&lt;&gt;""),"In both a container and a vehicle. ","")&amp;IF(AND(H27="Ship",L27=""),"No destination. ","")&amp;IF(AND(J27&lt;&gt;"",L27&lt;&gt;"",IFERROR(VLOOKUP(J27,Containers!$A$5:$F$60,6,FALSE()),L27)&lt;&gt;L27),"Destination differs from container. ","")&amp;IF(AND(K27&lt;&gt;"",L27&lt;&gt;"",IFERROR(VLOOKUP(K27,Vehicles!$A$5:$F$60,6,FALSE()),L27)&lt;&gt;L27),"Destination differs from vehicle. ","")&amp;IF(AND(H27="Stay",OR(J27&lt;&gt;"",K27&lt;&gt;"",L27&lt;&gt;"")),"Marked Stay but has a container/vehicle/destination. ","")&amp;IF(G27="Missing","Reported missing. ","")&amp;IF(AND(P27&lt;&gt;"",N(P27)&lt;0),"Service overdue. ","")))</f>
        <v/>
      </c>
      <c r="S27" s="17" t="str">
        <f aca="false">IF(A27="","",IF(CHOOSE(MATCH(Find!$C$4,Lists!$K$2:$K$7,0),F27,E27,J27,K27,L27,G27)=Find!$C$5,MAX(S$4:S26)+1,""))</f>
        <v/>
      </c>
      <c r="T27" s="17" t="str">
        <f aca="false">IF(A27="","",IF(OR(J27=Manifest!$C$4,K27=Manifest!$C$4),MAX(T$4:T26)+1,""))</f>
        <v/>
      </c>
    </row>
    <row r="28" customFormat="false" ht="16.4" hidden="false" customHeight="false" outlineLevel="0" collapsed="false">
      <c r="A28" s="0" t="s">
        <v>212</v>
      </c>
      <c r="B28" s="0" t="s">
        <v>213</v>
      </c>
      <c r="C28" s="14" t="s">
        <v>173</v>
      </c>
      <c r="D28" s="10" t="s">
        <v>214</v>
      </c>
      <c r="E28" s="14" t="s">
        <v>80</v>
      </c>
      <c r="F28" s="14" t="s">
        <v>77</v>
      </c>
      <c r="G28" s="14" t="s">
        <v>46</v>
      </c>
      <c r="H28" s="14" t="s">
        <v>128</v>
      </c>
      <c r="I28" s="0" t="s">
        <v>97</v>
      </c>
      <c r="J28" s="0" t="s">
        <v>170</v>
      </c>
      <c r="L28" s="0" t="s">
        <v>44</v>
      </c>
      <c r="M28" s="12"/>
      <c r="O28" s="15" t="str">
        <f aca="false">IF(OR(M28="",N28=""),"",M28+N28)</f>
        <v/>
      </c>
      <c r="P28" s="16" t="str">
        <f aca="true">IF(O28="","",O28-TODAY())</f>
        <v/>
      </c>
      <c r="Q28" s="17" t="str">
        <f aca="false">IF(A28="","",TRIM(IF(E28="","No owner. ","")&amp;IF(F28="","No storage location. ","")&amp;IF(D28="","Serial missing. ","")&amp;IF(OR(H28="",H28="Undecided"),"No disposition. ","")&amp;IF(AND(H28="Ship",J28="",K28=""),"Shipping but no container/vehicle. ","")&amp;IF(AND(J28&lt;&gt;"",K28&lt;&gt;""),"In both a container and a vehicle. ","")&amp;IF(AND(H28="Ship",L28=""),"No destination. ","")&amp;IF(AND(J28&lt;&gt;"",L28&lt;&gt;"",IFERROR(VLOOKUP(J28,Containers!$A$5:$F$60,6,FALSE()),L28)&lt;&gt;L28),"Destination differs from container. ","")&amp;IF(AND(K28&lt;&gt;"",L28&lt;&gt;"",IFERROR(VLOOKUP(K28,Vehicles!$A$5:$F$60,6,FALSE()),L28)&lt;&gt;L28),"Destination differs from vehicle. ","")&amp;IF(AND(H28="Stay",OR(J28&lt;&gt;"",K28&lt;&gt;"",L28&lt;&gt;"")),"Marked Stay but has a container/vehicle/destination. ","")&amp;IF(G28="Missing","Reported missing. ","")&amp;IF(AND(P28&lt;&gt;"",N(P28)&lt;0),"Service overdue. ","")))</f>
        <v>Reported missing.</v>
      </c>
      <c r="S28" s="17" t="str">
        <f aca="false">IF(A28="","",IF(CHOOSE(MATCH(Find!$C$4,Lists!$K$2:$K$7,0),F28,E28,J28,K28,L28,G28)=Find!$C$5,MAX(S$4:S27)+1,""))</f>
        <v/>
      </c>
      <c r="T28" s="17" t="str">
        <f aca="false">IF(A28="","",IF(OR(J28=Manifest!$C$4,K28=Manifest!$C$4),MAX(T$4:T27)+1,""))</f>
        <v/>
      </c>
    </row>
    <row r="29" customFormat="false" ht="16.4" hidden="false" customHeight="false" outlineLevel="0" collapsed="false">
      <c r="A29" s="0" t="s">
        <v>215</v>
      </c>
      <c r="B29" s="0" t="s">
        <v>216</v>
      </c>
      <c r="C29" s="14" t="s">
        <v>121</v>
      </c>
      <c r="D29" s="10" t="s">
        <v>217</v>
      </c>
      <c r="E29" s="14" t="s">
        <v>64</v>
      </c>
      <c r="F29" s="14" t="s">
        <v>79</v>
      </c>
      <c r="G29" s="14" t="s">
        <v>35</v>
      </c>
      <c r="H29" s="14" t="s">
        <v>128</v>
      </c>
      <c r="I29" s="0" t="s">
        <v>97</v>
      </c>
      <c r="J29" s="0" t="s">
        <v>102</v>
      </c>
      <c r="L29" s="0" t="s">
        <v>31</v>
      </c>
      <c r="M29" s="12" t="n">
        <v>45926</v>
      </c>
      <c r="N29" s="0" t="n">
        <v>180</v>
      </c>
      <c r="O29" s="15" t="n">
        <f aca="false">IF(OR(M29="",N29=""),"",M29+N29)</f>
        <v>46106</v>
      </c>
      <c r="P29" s="16" t="n">
        <f aca="true">IF(O29="","",O29-TODAY())</f>
        <v>-218</v>
      </c>
      <c r="Q29" s="17" t="str">
        <f aca="false">IF(A29="","",TRIM(IF(E29="","No owner. ","")&amp;IF(F29="","No storage location. ","")&amp;IF(D29="","Serial missing. ","")&amp;IF(OR(H29="",H29="Undecided"),"No disposition. ","")&amp;IF(AND(H29="Ship",J29="",K29=""),"Shipping but no container/vehicle. ","")&amp;IF(AND(J29&lt;&gt;"",K29&lt;&gt;""),"In both a container and a vehicle. ","")&amp;IF(AND(H29="Ship",L29=""),"No destination. ","")&amp;IF(AND(J29&lt;&gt;"",L29&lt;&gt;"",IFERROR(VLOOKUP(J29,Containers!$A$5:$F$60,6,FALSE()),L29)&lt;&gt;L29),"Destination differs from container. ","")&amp;IF(AND(K29&lt;&gt;"",L29&lt;&gt;"",IFERROR(VLOOKUP(K29,Vehicles!$A$5:$F$60,6,FALSE()),L29)&lt;&gt;L29),"Destination differs from vehicle. ","")&amp;IF(AND(H29="Stay",OR(J29&lt;&gt;"",K29&lt;&gt;"",L29&lt;&gt;"")),"Marked Stay but has a container/vehicle/destination. ","")&amp;IF(G29="Missing","Reported missing. ","")&amp;IF(AND(P29&lt;&gt;"",N(P29)&lt;0),"Service overdue. ","")))</f>
        <v>Service overdue.</v>
      </c>
      <c r="S29" s="17" t="str">
        <f aca="false">IF(A29="","",IF(CHOOSE(MATCH(Find!$C$4,Lists!$K$2:$K$7,0),F29,E29,J29,K29,L29,G29)=Find!$C$5,MAX(S$4:S28)+1,""))</f>
        <v/>
      </c>
      <c r="T29" s="17" t="n">
        <f aca="false">IF(A29="","",IF(OR(J29=Manifest!$C$4,K29=Manifest!$C$4),MAX(T$4:T28)+1,""))</f>
        <v>3</v>
      </c>
    </row>
    <row r="30" customFormat="false" ht="16.4" hidden="false" customHeight="false" outlineLevel="0" collapsed="false">
      <c r="A30" s="0" t="s">
        <v>218</v>
      </c>
      <c r="B30" s="0" t="s">
        <v>219</v>
      </c>
      <c r="C30" s="14" t="s">
        <v>126</v>
      </c>
      <c r="D30" s="10" t="s">
        <v>220</v>
      </c>
      <c r="E30" s="14" t="s">
        <v>64</v>
      </c>
      <c r="F30" s="14" t="s">
        <v>74</v>
      </c>
      <c r="G30" s="14" t="s">
        <v>34</v>
      </c>
      <c r="H30" s="14" t="s">
        <v>123</v>
      </c>
      <c r="M30" s="12"/>
      <c r="O30" s="15" t="str">
        <f aca="false">IF(OR(M30="",N30=""),"",M30+N30)</f>
        <v/>
      </c>
      <c r="P30" s="16" t="str">
        <f aca="true">IF(O30="","",O30-TODAY())</f>
        <v/>
      </c>
      <c r="Q30" s="17" t="str">
        <f aca="false">IF(A30="","",TRIM(IF(E30="","No owner. ","")&amp;IF(F30="","No storage location. ","")&amp;IF(D30="","Serial missing. ","")&amp;IF(OR(H30="",H30="Undecided"),"No disposition. ","")&amp;IF(AND(H30="Ship",J30="",K30=""),"Shipping but no container/vehicle. ","")&amp;IF(AND(J30&lt;&gt;"",K30&lt;&gt;""),"In both a container and a vehicle. ","")&amp;IF(AND(H30="Ship",L30=""),"No destination. ","")&amp;IF(AND(J30&lt;&gt;"",L30&lt;&gt;"",IFERROR(VLOOKUP(J30,Containers!$A$5:$F$60,6,FALSE()),L30)&lt;&gt;L30),"Destination differs from container. ","")&amp;IF(AND(K30&lt;&gt;"",L30&lt;&gt;"",IFERROR(VLOOKUP(K30,Vehicles!$A$5:$F$60,6,FALSE()),L30)&lt;&gt;L30),"Destination differs from vehicle. ","")&amp;IF(AND(H30="Stay",OR(J30&lt;&gt;"",K30&lt;&gt;"",L30&lt;&gt;"")),"Marked Stay but has a container/vehicle/destination. ","")&amp;IF(G30="Missing","Reported missing. ","")&amp;IF(AND(P30&lt;&gt;"",N(P30)&lt;0),"Service overdue. ","")))</f>
        <v/>
      </c>
      <c r="S30" s="17" t="str">
        <f aca="false">IF(A30="","",IF(CHOOSE(MATCH(Find!$C$4,Lists!$K$2:$K$7,0),F30,E30,J30,K30,L30,G30)=Find!$C$5,MAX(S$4:S29)+1,""))</f>
        <v/>
      </c>
      <c r="T30" s="17" t="str">
        <f aca="false">IF(A30="","",IF(OR(J30=Manifest!$C$4,K30=Manifest!$C$4),MAX(T$4:T29)+1,""))</f>
        <v/>
      </c>
    </row>
    <row r="31" customFormat="false" ht="16.4" hidden="false" customHeight="false" outlineLevel="0" collapsed="false">
      <c r="A31" s="0" t="s">
        <v>221</v>
      </c>
      <c r="B31" s="0" t="s">
        <v>222</v>
      </c>
      <c r="C31" s="14" t="s">
        <v>132</v>
      </c>
      <c r="D31" s="10" t="s">
        <v>223</v>
      </c>
      <c r="E31" s="14" t="s">
        <v>58</v>
      </c>
      <c r="F31" s="14" t="s">
        <v>70</v>
      </c>
      <c r="G31" s="14" t="s">
        <v>34</v>
      </c>
      <c r="H31" s="14" t="s">
        <v>123</v>
      </c>
      <c r="M31" s="12"/>
      <c r="O31" s="15" t="str">
        <f aca="false">IF(OR(M31="",N31=""),"",M31+N31)</f>
        <v/>
      </c>
      <c r="P31" s="16" t="str">
        <f aca="true">IF(O31="","",O31-TODAY())</f>
        <v/>
      </c>
      <c r="Q31" s="17" t="str">
        <f aca="false">IF(A31="","",TRIM(IF(E31="","No owner. ","")&amp;IF(F31="","No storage location. ","")&amp;IF(D31="","Serial missing. ","")&amp;IF(OR(H31="",H31="Undecided"),"No disposition. ","")&amp;IF(AND(H31="Ship",J31="",K31=""),"Shipping but no container/vehicle. ","")&amp;IF(AND(J31&lt;&gt;"",K31&lt;&gt;""),"In both a container and a vehicle. ","")&amp;IF(AND(H31="Ship",L31=""),"No destination. ","")&amp;IF(AND(J31&lt;&gt;"",L31&lt;&gt;"",IFERROR(VLOOKUP(J31,Containers!$A$5:$F$60,6,FALSE()),L31)&lt;&gt;L31),"Destination differs from container. ","")&amp;IF(AND(K31&lt;&gt;"",L31&lt;&gt;"",IFERROR(VLOOKUP(K31,Vehicles!$A$5:$F$60,6,FALSE()),L31)&lt;&gt;L31),"Destination differs from vehicle. ","")&amp;IF(AND(H31="Stay",OR(J31&lt;&gt;"",K31&lt;&gt;"",L31&lt;&gt;"")),"Marked Stay but has a container/vehicle/destination. ","")&amp;IF(G31="Missing","Reported missing. ","")&amp;IF(AND(P31&lt;&gt;"",N(P31)&lt;0),"Service overdue. ","")))</f>
        <v/>
      </c>
      <c r="S31" s="17" t="str">
        <f aca="false">IF(A31="","",IF(CHOOSE(MATCH(Find!$C$4,Lists!$K$2:$K$7,0),F31,E31,J31,K31,L31,G31)=Find!$C$5,MAX(S$4:S30)+1,""))</f>
        <v/>
      </c>
      <c r="T31" s="17" t="str">
        <f aca="false">IF(A31="","",IF(OR(J31=Manifest!$C$4,K31=Manifest!$C$4),MAX(T$4:T30)+1,""))</f>
        <v/>
      </c>
    </row>
    <row r="32" customFormat="false" ht="16.4" hidden="false" customHeight="false" outlineLevel="0" collapsed="false">
      <c r="A32" s="0" t="s">
        <v>224</v>
      </c>
      <c r="B32" s="0" t="s">
        <v>225</v>
      </c>
      <c r="C32" s="14" t="s">
        <v>137</v>
      </c>
      <c r="D32" s="10" t="s">
        <v>226</v>
      </c>
      <c r="E32" s="14" t="s">
        <v>78</v>
      </c>
      <c r="F32" s="14" t="s">
        <v>57</v>
      </c>
      <c r="G32" s="14" t="s">
        <v>34</v>
      </c>
      <c r="H32" s="14" t="s">
        <v>123</v>
      </c>
      <c r="M32" s="12"/>
      <c r="O32" s="15" t="str">
        <f aca="false">IF(OR(M32="",N32=""),"",M32+N32)</f>
        <v/>
      </c>
      <c r="P32" s="16" t="str">
        <f aca="true">IF(O32="","",O32-TODAY())</f>
        <v/>
      </c>
      <c r="Q32" s="17" t="str">
        <f aca="false">IF(A32="","",TRIM(IF(E32="","No owner. ","")&amp;IF(F32="","No storage location. ","")&amp;IF(D32="","Serial missing. ","")&amp;IF(OR(H32="",H32="Undecided"),"No disposition. ","")&amp;IF(AND(H32="Ship",J32="",K32=""),"Shipping but no container/vehicle. ","")&amp;IF(AND(J32&lt;&gt;"",K32&lt;&gt;""),"In both a container and a vehicle. ","")&amp;IF(AND(H32="Ship",L32=""),"No destination. ","")&amp;IF(AND(J32&lt;&gt;"",L32&lt;&gt;"",IFERROR(VLOOKUP(J32,Containers!$A$5:$F$60,6,FALSE()),L32)&lt;&gt;L32),"Destination differs from container. ","")&amp;IF(AND(K32&lt;&gt;"",L32&lt;&gt;"",IFERROR(VLOOKUP(K32,Vehicles!$A$5:$F$60,6,FALSE()),L32)&lt;&gt;L32),"Destination differs from vehicle. ","")&amp;IF(AND(H32="Stay",OR(J32&lt;&gt;"",K32&lt;&gt;"",L32&lt;&gt;"")),"Marked Stay but has a container/vehicle/destination. ","")&amp;IF(G32="Missing","Reported missing. ","")&amp;IF(AND(P32&lt;&gt;"",N(P32)&lt;0),"Service overdue. ","")))</f>
        <v/>
      </c>
      <c r="S32" s="17" t="n">
        <f aca="false">IF(A32="","",IF(CHOOSE(MATCH(Find!$C$4,Lists!$K$2:$K$7,0),F32,E32,J32,K32,L32,G32)=Find!$C$5,MAX(S$4:S31)+1,""))</f>
        <v>2</v>
      </c>
      <c r="T32" s="17" t="str">
        <f aca="false">IF(A32="","",IF(OR(J32=Manifest!$C$4,K32=Manifest!$C$4),MAX(T$4:T31)+1,""))</f>
        <v/>
      </c>
    </row>
    <row r="33" customFormat="false" ht="16.4" hidden="false" customHeight="false" outlineLevel="0" collapsed="false">
      <c r="A33" s="0" t="s">
        <v>227</v>
      </c>
      <c r="B33" s="0" t="s">
        <v>228</v>
      </c>
      <c r="C33" s="14" t="s">
        <v>141</v>
      </c>
      <c r="D33" s="10" t="s">
        <v>229</v>
      </c>
      <c r="E33" s="14" t="s">
        <v>75</v>
      </c>
      <c r="F33" s="14" t="s">
        <v>77</v>
      </c>
      <c r="G33" s="14" t="s">
        <v>38</v>
      </c>
      <c r="H33" s="14" t="s">
        <v>128</v>
      </c>
      <c r="I33" s="0" t="s">
        <v>97</v>
      </c>
      <c r="J33" s="0" t="s">
        <v>230</v>
      </c>
      <c r="L33" s="0" t="s">
        <v>33</v>
      </c>
      <c r="M33" s="12"/>
      <c r="O33" s="15" t="str">
        <f aca="false">IF(OR(M33="",N33=""),"",M33+N33)</f>
        <v/>
      </c>
      <c r="P33" s="16" t="str">
        <f aca="true">IF(O33="","",O33-TODAY())</f>
        <v/>
      </c>
      <c r="Q33" s="17" t="str">
        <f aca="false">IF(A33="","",TRIM(IF(E33="","No owner. ","")&amp;IF(F33="","No storage location. ","")&amp;IF(D33="","Serial missing. ","")&amp;IF(OR(H33="",H33="Undecided"),"No disposition. ","")&amp;IF(AND(H33="Ship",J33="",K33=""),"Shipping but no container/vehicle. ","")&amp;IF(AND(J33&lt;&gt;"",K33&lt;&gt;""),"In both a container and a vehicle. ","")&amp;IF(AND(H33="Ship",L33=""),"No destination. ","")&amp;IF(AND(J33&lt;&gt;"",L33&lt;&gt;"",IFERROR(VLOOKUP(J33,Containers!$A$5:$F$60,6,FALSE()),L33)&lt;&gt;L33),"Destination differs from container. ","")&amp;IF(AND(K33&lt;&gt;"",L33&lt;&gt;"",IFERROR(VLOOKUP(K33,Vehicles!$A$5:$F$60,6,FALSE()),L33)&lt;&gt;L33),"Destination differs from vehicle. ","")&amp;IF(AND(H33="Stay",OR(J33&lt;&gt;"",K33&lt;&gt;"",L33&lt;&gt;"")),"Marked Stay but has a container/vehicle/destination. ","")&amp;IF(G33="Missing","Reported missing. ","")&amp;IF(AND(P33&lt;&gt;"",N(P33)&lt;0),"Service overdue. ","")))</f>
        <v/>
      </c>
      <c r="S33" s="17" t="str">
        <f aca="false">IF(A33="","",IF(CHOOSE(MATCH(Find!$C$4,Lists!$K$2:$K$7,0),F33,E33,J33,K33,L33,G33)=Find!$C$5,MAX(S$4:S32)+1,""))</f>
        <v/>
      </c>
      <c r="T33" s="17" t="str">
        <f aca="false">IF(A33="","",IF(OR(J33=Manifest!$C$4,K33=Manifest!$C$4),MAX(T$4:T32)+1,""))</f>
        <v/>
      </c>
    </row>
    <row r="34" customFormat="false" ht="16.4" hidden="false" customHeight="false" outlineLevel="0" collapsed="false">
      <c r="A34" s="0" t="s">
        <v>231</v>
      </c>
      <c r="B34" s="0" t="s">
        <v>232</v>
      </c>
      <c r="C34" s="14" t="s">
        <v>146</v>
      </c>
      <c r="E34" s="14" t="s">
        <v>68</v>
      </c>
      <c r="F34" s="14" t="s">
        <v>74</v>
      </c>
      <c r="G34" s="14" t="s">
        <v>32</v>
      </c>
      <c r="H34" s="14" t="s">
        <v>128</v>
      </c>
      <c r="I34" s="0" t="s">
        <v>97</v>
      </c>
      <c r="J34" s="0" t="s">
        <v>184</v>
      </c>
      <c r="L34" s="0" t="s">
        <v>39</v>
      </c>
      <c r="M34" s="12" t="n">
        <v>46184</v>
      </c>
      <c r="N34" s="0" t="n">
        <v>90</v>
      </c>
      <c r="O34" s="15" t="n">
        <f aca="false">IF(OR(M34="",N34=""),"",M34+N34)</f>
        <v>46274</v>
      </c>
      <c r="P34" s="16" t="n">
        <f aca="true">IF(O34="","",O34-TODAY())</f>
        <v>-50</v>
      </c>
      <c r="Q34" s="17" t="str">
        <f aca="false">IF(A34="","",TRIM(IF(E34="","No owner. ","")&amp;IF(F34="","No storage location. ","")&amp;IF(D34="","Serial missing. ","")&amp;IF(OR(H34="",H34="Undecided"),"No disposition. ","")&amp;IF(AND(H34="Ship",J34="",K34=""),"Shipping but no container/vehicle. ","")&amp;IF(AND(J34&lt;&gt;"",K34&lt;&gt;""),"In both a container and a vehicle. ","")&amp;IF(AND(H34="Ship",L34=""),"No destination. ","")&amp;IF(AND(J34&lt;&gt;"",L34&lt;&gt;"",IFERROR(VLOOKUP(J34,Containers!$A$5:$F$60,6,FALSE()),L34)&lt;&gt;L34),"Destination differs from container. ","")&amp;IF(AND(K34&lt;&gt;"",L34&lt;&gt;"",IFERROR(VLOOKUP(K34,Vehicles!$A$5:$F$60,6,FALSE()),L34)&lt;&gt;L34),"Destination differs from vehicle. ","")&amp;IF(AND(H34="Stay",OR(J34&lt;&gt;"",K34&lt;&gt;"",L34&lt;&gt;"")),"Marked Stay but has a container/vehicle/destination. ","")&amp;IF(G34="Missing","Reported missing. ","")&amp;IF(AND(P34&lt;&gt;"",N(P34)&lt;0),"Service overdue. ","")))</f>
        <v>Serial missing. Service overdue.</v>
      </c>
      <c r="S34" s="17" t="str">
        <f aca="false">IF(A34="","",IF(CHOOSE(MATCH(Find!$C$4,Lists!$K$2:$K$7,0),F34,E34,J34,K34,L34,G34)=Find!$C$5,MAX(S$4:S33)+1,""))</f>
        <v/>
      </c>
      <c r="T34" s="17" t="str">
        <f aca="false">IF(A34="","",IF(OR(J34=Manifest!$C$4,K34=Manifest!$C$4),MAX(T$4:T33)+1,""))</f>
        <v/>
      </c>
    </row>
    <row r="35" customFormat="false" ht="16.4" hidden="false" customHeight="false" outlineLevel="0" collapsed="false">
      <c r="A35" s="0" t="s">
        <v>233</v>
      </c>
      <c r="B35" s="0" t="s">
        <v>234</v>
      </c>
      <c r="C35" s="14" t="s">
        <v>151</v>
      </c>
      <c r="D35" s="10" t="s">
        <v>235</v>
      </c>
      <c r="E35" s="14" t="s">
        <v>68</v>
      </c>
      <c r="F35" s="14" t="s">
        <v>77</v>
      </c>
      <c r="G35" s="14" t="s">
        <v>30</v>
      </c>
      <c r="H35" s="14" t="s">
        <v>128</v>
      </c>
      <c r="I35" s="0" t="s">
        <v>97</v>
      </c>
      <c r="J35" s="0" t="s">
        <v>184</v>
      </c>
      <c r="L35" s="0" t="s">
        <v>39</v>
      </c>
      <c r="M35" s="12" t="n">
        <v>46027</v>
      </c>
      <c r="N35" s="0" t="n">
        <v>180</v>
      </c>
      <c r="O35" s="15" t="n">
        <f aca="false">IF(OR(M35="",N35=""),"",M35+N35)</f>
        <v>46207</v>
      </c>
      <c r="P35" s="16" t="n">
        <f aca="true">IF(O35="","",O35-TODAY())</f>
        <v>-117</v>
      </c>
      <c r="Q35" s="17" t="str">
        <f aca="false">IF(A35="","",TRIM(IF(E35="","No owner. ","")&amp;IF(F35="","No storage location. ","")&amp;IF(D35="","Serial missing. ","")&amp;IF(OR(H35="",H35="Undecided"),"No disposition. ","")&amp;IF(AND(H35="Ship",J35="",K35=""),"Shipping but no container/vehicle. ","")&amp;IF(AND(J35&lt;&gt;"",K35&lt;&gt;""),"In both a container and a vehicle. ","")&amp;IF(AND(H35="Ship",L35=""),"No destination. ","")&amp;IF(AND(J35&lt;&gt;"",L35&lt;&gt;"",IFERROR(VLOOKUP(J35,Containers!$A$5:$F$60,6,FALSE()),L35)&lt;&gt;L35),"Destination differs from container. ","")&amp;IF(AND(K35&lt;&gt;"",L35&lt;&gt;"",IFERROR(VLOOKUP(K35,Vehicles!$A$5:$F$60,6,FALSE()),L35)&lt;&gt;L35),"Destination differs from vehicle. ","")&amp;IF(AND(H35="Stay",OR(J35&lt;&gt;"",K35&lt;&gt;"",L35&lt;&gt;"")),"Marked Stay but has a container/vehicle/destination. ","")&amp;IF(G35="Missing","Reported missing. ","")&amp;IF(AND(P35&lt;&gt;"",N(P35)&lt;0),"Service overdue. ","")))</f>
        <v>Service overdue.</v>
      </c>
      <c r="S35" s="17" t="str">
        <f aca="false">IF(A35="","",IF(CHOOSE(MATCH(Find!$C$4,Lists!$K$2:$K$7,0),F35,E35,J35,K35,L35,G35)=Find!$C$5,MAX(S$4:S34)+1,""))</f>
        <v/>
      </c>
      <c r="T35" s="17" t="str">
        <f aca="false">IF(A35="","",IF(OR(J35=Manifest!$C$4,K35=Manifest!$C$4),MAX(T$4:T34)+1,""))</f>
        <v/>
      </c>
    </row>
    <row r="36" customFormat="false" ht="16.4" hidden="false" customHeight="false" outlineLevel="0" collapsed="false">
      <c r="A36" s="0" t="s">
        <v>236</v>
      </c>
      <c r="B36" s="0" t="s">
        <v>237</v>
      </c>
      <c r="C36" s="14" t="s">
        <v>155</v>
      </c>
      <c r="D36" s="10" t="s">
        <v>238</v>
      </c>
      <c r="E36" s="14" t="s">
        <v>61</v>
      </c>
      <c r="F36" s="14" t="s">
        <v>72</v>
      </c>
      <c r="G36" s="14" t="s">
        <v>34</v>
      </c>
      <c r="H36" s="14" t="s">
        <v>123</v>
      </c>
      <c r="M36" s="12"/>
      <c r="O36" s="15" t="str">
        <f aca="false">IF(OR(M36="",N36=""),"",M36+N36)</f>
        <v/>
      </c>
      <c r="P36" s="16" t="str">
        <f aca="true">IF(O36="","",O36-TODAY())</f>
        <v/>
      </c>
      <c r="Q36" s="17" t="str">
        <f aca="false">IF(A36="","",TRIM(IF(E36="","No owner. ","")&amp;IF(F36="","No storage location. ","")&amp;IF(D36="","Serial missing. ","")&amp;IF(OR(H36="",H36="Undecided"),"No disposition. ","")&amp;IF(AND(H36="Ship",J36="",K36=""),"Shipping but no container/vehicle. ","")&amp;IF(AND(J36&lt;&gt;"",K36&lt;&gt;""),"In both a container and a vehicle. ","")&amp;IF(AND(H36="Ship",L36=""),"No destination. ","")&amp;IF(AND(J36&lt;&gt;"",L36&lt;&gt;"",IFERROR(VLOOKUP(J36,Containers!$A$5:$F$60,6,FALSE()),L36)&lt;&gt;L36),"Destination differs from container. ","")&amp;IF(AND(K36&lt;&gt;"",L36&lt;&gt;"",IFERROR(VLOOKUP(K36,Vehicles!$A$5:$F$60,6,FALSE()),L36)&lt;&gt;L36),"Destination differs from vehicle. ","")&amp;IF(AND(H36="Stay",OR(J36&lt;&gt;"",K36&lt;&gt;"",L36&lt;&gt;"")),"Marked Stay but has a container/vehicle/destination. ","")&amp;IF(G36="Missing","Reported missing. ","")&amp;IF(AND(P36&lt;&gt;"",N(P36)&lt;0),"Service overdue. ","")))</f>
        <v/>
      </c>
      <c r="S36" s="17" t="str">
        <f aca="false">IF(A36="","",IF(CHOOSE(MATCH(Find!$C$4,Lists!$K$2:$K$7,0),F36,E36,J36,K36,L36,G36)=Find!$C$5,MAX(S$4:S35)+1,""))</f>
        <v/>
      </c>
      <c r="T36" s="17" t="str">
        <f aca="false">IF(A36="","",IF(OR(J36=Manifest!$C$4,K36=Manifest!$C$4),MAX(T$4:T35)+1,""))</f>
        <v/>
      </c>
    </row>
    <row r="37" customFormat="false" ht="16.4" hidden="false" customHeight="false" outlineLevel="0" collapsed="false">
      <c r="A37" s="0" t="s">
        <v>239</v>
      </c>
      <c r="B37" s="0" t="s">
        <v>240</v>
      </c>
      <c r="C37" s="14" t="s">
        <v>160</v>
      </c>
      <c r="D37" s="10" t="s">
        <v>241</v>
      </c>
      <c r="E37" s="14" t="s">
        <v>66</v>
      </c>
      <c r="F37" s="14" t="s">
        <v>82</v>
      </c>
      <c r="G37" s="14" t="s">
        <v>32</v>
      </c>
      <c r="H37" s="14" t="s">
        <v>128</v>
      </c>
      <c r="I37" s="0" t="s">
        <v>98</v>
      </c>
      <c r="K37" s="0" t="s">
        <v>242</v>
      </c>
      <c r="L37" s="0" t="s">
        <v>31</v>
      </c>
      <c r="M37" s="12" t="n">
        <v>46079</v>
      </c>
      <c r="N37" s="0" t="n">
        <v>365</v>
      </c>
      <c r="O37" s="15" t="n">
        <f aca="false">IF(OR(M37="",N37=""),"",M37+N37)</f>
        <v>46444</v>
      </c>
      <c r="P37" s="16" t="n">
        <f aca="true">IF(O37="","",O37-TODAY())</f>
        <v>120</v>
      </c>
      <c r="Q37" s="17" t="str">
        <f aca="false">IF(A37="","",TRIM(IF(E37="","No owner. ","")&amp;IF(F37="","No storage location. ","")&amp;IF(D37="","Serial missing. ","")&amp;IF(OR(H37="",H37="Undecided"),"No disposition. ","")&amp;IF(AND(H37="Ship",J37="",K37=""),"Shipping but no container/vehicle. ","")&amp;IF(AND(J37&lt;&gt;"",K37&lt;&gt;""),"In both a container and a vehicle. ","")&amp;IF(AND(H37="Ship",L37=""),"No destination. ","")&amp;IF(AND(J37&lt;&gt;"",L37&lt;&gt;"",IFERROR(VLOOKUP(J37,Containers!$A$5:$F$60,6,FALSE()),L37)&lt;&gt;L37),"Destination differs from container. ","")&amp;IF(AND(K37&lt;&gt;"",L37&lt;&gt;"",IFERROR(VLOOKUP(K37,Vehicles!$A$5:$F$60,6,FALSE()),L37)&lt;&gt;L37),"Destination differs from vehicle. ","")&amp;IF(AND(H37="Stay",OR(J37&lt;&gt;"",K37&lt;&gt;"",L37&lt;&gt;"")),"Marked Stay but has a container/vehicle/destination. ","")&amp;IF(G37="Missing","Reported missing. ","")&amp;IF(AND(P37&lt;&gt;"",N(P37)&lt;0),"Service overdue. ","")))</f>
        <v/>
      </c>
      <c r="S37" s="17" t="str">
        <f aca="false">IF(A37="","",IF(CHOOSE(MATCH(Find!$C$4,Lists!$K$2:$K$7,0),F37,E37,J37,K37,L37,G37)=Find!$C$5,MAX(S$4:S36)+1,""))</f>
        <v/>
      </c>
      <c r="T37" s="17" t="str">
        <f aca="false">IF(A37="","",IF(OR(J37=Manifest!$C$4,K37=Manifest!$C$4),MAX(T$4:T36)+1,""))</f>
        <v/>
      </c>
    </row>
    <row r="38" customFormat="false" ht="16.4" hidden="false" customHeight="false" outlineLevel="0" collapsed="false">
      <c r="A38" s="0" t="s">
        <v>243</v>
      </c>
      <c r="B38" s="0" t="s">
        <v>244</v>
      </c>
      <c r="C38" s="14" t="s">
        <v>164</v>
      </c>
      <c r="D38" s="10" t="s">
        <v>245</v>
      </c>
      <c r="E38" s="14" t="s">
        <v>71</v>
      </c>
      <c r="F38" s="14" t="s">
        <v>63</v>
      </c>
      <c r="G38" s="14" t="s">
        <v>34</v>
      </c>
      <c r="H38" s="14" t="s">
        <v>123</v>
      </c>
      <c r="M38" s="12"/>
      <c r="O38" s="15" t="str">
        <f aca="false">IF(OR(M38="",N38=""),"",M38+N38)</f>
        <v/>
      </c>
      <c r="P38" s="16" t="str">
        <f aca="true">IF(O38="","",O38-TODAY())</f>
        <v/>
      </c>
      <c r="Q38" s="17" t="str">
        <f aca="false">IF(A38="","",TRIM(IF(E38="","No owner. ","")&amp;IF(F38="","No storage location. ","")&amp;IF(D38="","Serial missing. ","")&amp;IF(OR(H38="",H38="Undecided"),"No disposition. ","")&amp;IF(AND(H38="Ship",J38="",K38=""),"Shipping but no container/vehicle. ","")&amp;IF(AND(J38&lt;&gt;"",K38&lt;&gt;""),"In both a container and a vehicle. ","")&amp;IF(AND(H38="Ship",L38=""),"No destination. ","")&amp;IF(AND(J38&lt;&gt;"",L38&lt;&gt;"",IFERROR(VLOOKUP(J38,Containers!$A$5:$F$60,6,FALSE()),L38)&lt;&gt;L38),"Destination differs from container. ","")&amp;IF(AND(K38&lt;&gt;"",L38&lt;&gt;"",IFERROR(VLOOKUP(K38,Vehicles!$A$5:$F$60,6,FALSE()),L38)&lt;&gt;L38),"Destination differs from vehicle. ","")&amp;IF(AND(H38="Stay",OR(J38&lt;&gt;"",K38&lt;&gt;"",L38&lt;&gt;"")),"Marked Stay but has a container/vehicle/destination. ","")&amp;IF(G38="Missing","Reported missing. ","")&amp;IF(AND(P38&lt;&gt;"",N(P38)&lt;0),"Service overdue. ","")))</f>
        <v/>
      </c>
      <c r="S38" s="17" t="str">
        <f aca="false">IF(A38="","",IF(CHOOSE(MATCH(Find!$C$4,Lists!$K$2:$K$7,0),F38,E38,J38,K38,L38,G38)=Find!$C$5,MAX(S$4:S37)+1,""))</f>
        <v/>
      </c>
      <c r="T38" s="17" t="str">
        <f aca="false">IF(A38="","",IF(OR(J38=Manifest!$C$4,K38=Manifest!$C$4),MAX(T$4:T37)+1,""))</f>
        <v/>
      </c>
    </row>
    <row r="39" customFormat="false" ht="16.4" hidden="false" customHeight="false" outlineLevel="0" collapsed="false">
      <c r="A39" s="0" t="s">
        <v>246</v>
      </c>
      <c r="B39" s="0" t="s">
        <v>247</v>
      </c>
      <c r="C39" s="14" t="s">
        <v>168</v>
      </c>
      <c r="D39" s="10" t="s">
        <v>248</v>
      </c>
      <c r="E39" s="14" t="s">
        <v>73</v>
      </c>
      <c r="F39" s="14" t="s">
        <v>74</v>
      </c>
      <c r="G39" s="14" t="s">
        <v>35</v>
      </c>
      <c r="H39" s="14" t="s">
        <v>128</v>
      </c>
      <c r="I39" s="0" t="s">
        <v>98</v>
      </c>
      <c r="K39" s="0" t="s">
        <v>191</v>
      </c>
      <c r="L39" s="0" t="s">
        <v>39</v>
      </c>
      <c r="M39" s="12" t="n">
        <v>46007</v>
      </c>
      <c r="N39" s="0" t="n">
        <v>365</v>
      </c>
      <c r="O39" s="15" t="n">
        <f aca="false">IF(OR(M39="",N39=""),"",M39+N39)</f>
        <v>46372</v>
      </c>
      <c r="P39" s="16" t="n">
        <f aca="true">IF(O39="","",O39-TODAY())</f>
        <v>48</v>
      </c>
      <c r="Q39" s="17" t="str">
        <f aca="false">IF(A39="","",TRIM(IF(E39="","No owner. ","")&amp;IF(F39="","No storage location. ","")&amp;IF(D39="","Serial missing. ","")&amp;IF(OR(H39="",H39="Undecided"),"No disposition. ","")&amp;IF(AND(H39="Ship",J39="",K39=""),"Shipping but no container/vehicle. ","")&amp;IF(AND(J39&lt;&gt;"",K39&lt;&gt;""),"In both a container and a vehicle. ","")&amp;IF(AND(H39="Ship",L39=""),"No destination. ","")&amp;IF(AND(J39&lt;&gt;"",L39&lt;&gt;"",IFERROR(VLOOKUP(J39,Containers!$A$5:$F$60,6,FALSE()),L39)&lt;&gt;L39),"Destination differs from container. ","")&amp;IF(AND(K39&lt;&gt;"",L39&lt;&gt;"",IFERROR(VLOOKUP(K39,Vehicles!$A$5:$F$60,6,FALSE()),L39)&lt;&gt;L39),"Destination differs from vehicle. ","")&amp;IF(AND(H39="Stay",OR(J39&lt;&gt;"",K39&lt;&gt;"",L39&lt;&gt;"")),"Marked Stay but has a container/vehicle/destination. ","")&amp;IF(G39="Missing","Reported missing. ","")&amp;IF(AND(P39&lt;&gt;"",N(P39)&lt;0),"Service overdue. ","")))</f>
        <v/>
      </c>
      <c r="S39" s="17" t="str">
        <f aca="false">IF(A39="","",IF(CHOOSE(MATCH(Find!$C$4,Lists!$K$2:$K$7,0),F39,E39,J39,K39,L39,G39)=Find!$C$5,MAX(S$4:S38)+1,""))</f>
        <v/>
      </c>
      <c r="T39" s="17" t="str">
        <f aca="false">IF(A39="","",IF(OR(J39=Manifest!$C$4,K39=Manifest!$C$4),MAX(T$4:T38)+1,""))</f>
        <v/>
      </c>
    </row>
    <row r="40" customFormat="false" ht="16.4" hidden="false" customHeight="false" outlineLevel="0" collapsed="false">
      <c r="A40" s="0" t="s">
        <v>249</v>
      </c>
      <c r="B40" s="0" t="s">
        <v>250</v>
      </c>
      <c r="C40" s="14" t="s">
        <v>173</v>
      </c>
      <c r="D40" s="10" t="s">
        <v>251</v>
      </c>
      <c r="E40" s="14" t="s">
        <v>73</v>
      </c>
      <c r="F40" s="14" t="s">
        <v>77</v>
      </c>
      <c r="G40" s="14" t="s">
        <v>30</v>
      </c>
      <c r="H40" s="14" t="s">
        <v>134</v>
      </c>
      <c r="M40" s="12"/>
      <c r="O40" s="15" t="str">
        <f aca="false">IF(OR(M40="",N40=""),"",M40+N40)</f>
        <v/>
      </c>
      <c r="P40" s="16" t="str">
        <f aca="true">IF(O40="","",O40-TODAY())</f>
        <v/>
      </c>
      <c r="Q40" s="17" t="str">
        <f aca="false">IF(A40="","",TRIM(IF(E40="","No owner. ","")&amp;IF(F40="","No storage location. ","")&amp;IF(D40="","Serial missing. ","")&amp;IF(OR(H40="",H40="Undecided"),"No disposition. ","")&amp;IF(AND(H40="Ship",J40="",K40=""),"Shipping but no container/vehicle. ","")&amp;IF(AND(J40&lt;&gt;"",K40&lt;&gt;""),"In both a container and a vehicle. ","")&amp;IF(AND(H40="Ship",L40=""),"No destination. ","")&amp;IF(AND(J40&lt;&gt;"",L40&lt;&gt;"",IFERROR(VLOOKUP(J40,Containers!$A$5:$F$60,6,FALSE()),L40)&lt;&gt;L40),"Destination differs from container. ","")&amp;IF(AND(K40&lt;&gt;"",L40&lt;&gt;"",IFERROR(VLOOKUP(K40,Vehicles!$A$5:$F$60,6,FALSE()),L40)&lt;&gt;L40),"Destination differs from vehicle. ","")&amp;IF(AND(H40="Stay",OR(J40&lt;&gt;"",K40&lt;&gt;"",L40&lt;&gt;"")),"Marked Stay but has a container/vehicle/destination. ","")&amp;IF(G40="Missing","Reported missing. ","")&amp;IF(AND(P40&lt;&gt;"",N(P40)&lt;0),"Service overdue. ","")))</f>
        <v>No disposition.</v>
      </c>
      <c r="S40" s="17" t="str">
        <f aca="false">IF(A40="","",IF(CHOOSE(MATCH(Find!$C$4,Lists!$K$2:$K$7,0),F40,E40,J40,K40,L40,G40)=Find!$C$5,MAX(S$4:S39)+1,""))</f>
        <v/>
      </c>
      <c r="T40" s="17" t="str">
        <f aca="false">IF(A40="","",IF(OR(J40=Manifest!$C$4,K40=Manifest!$C$4),MAX(T$4:T39)+1,""))</f>
        <v/>
      </c>
    </row>
    <row r="41" customFormat="false" ht="16.4" hidden="false" customHeight="false" outlineLevel="0" collapsed="false">
      <c r="A41" s="0" t="s">
        <v>252</v>
      </c>
      <c r="B41" s="0" t="s">
        <v>253</v>
      </c>
      <c r="C41" s="14" t="s">
        <v>121</v>
      </c>
      <c r="D41" s="10" t="s">
        <v>254</v>
      </c>
      <c r="E41" s="14" t="s">
        <v>71</v>
      </c>
      <c r="F41" s="14" t="s">
        <v>57</v>
      </c>
      <c r="G41" s="14" t="s">
        <v>30</v>
      </c>
      <c r="H41" s="14" t="s">
        <v>128</v>
      </c>
      <c r="I41" s="0" t="s">
        <v>97</v>
      </c>
      <c r="J41" s="0" t="s">
        <v>170</v>
      </c>
      <c r="L41" s="0" t="s">
        <v>44</v>
      </c>
      <c r="M41" s="12" t="n">
        <v>46097</v>
      </c>
      <c r="N41" s="0" t="n">
        <v>180</v>
      </c>
      <c r="O41" s="15" t="n">
        <f aca="false">IF(OR(M41="",N41=""),"",M41+N41)</f>
        <v>46277</v>
      </c>
      <c r="P41" s="16" t="n">
        <f aca="true">IF(O41="","",O41-TODAY())</f>
        <v>-47</v>
      </c>
      <c r="Q41" s="17" t="str">
        <f aca="false">IF(A41="","",TRIM(IF(E41="","No owner. ","")&amp;IF(F41="","No storage location. ","")&amp;IF(D41="","Serial missing. ","")&amp;IF(OR(H41="",H41="Undecided"),"No disposition. ","")&amp;IF(AND(H41="Ship",J41="",K41=""),"Shipping but no container/vehicle. ","")&amp;IF(AND(J41&lt;&gt;"",K41&lt;&gt;""),"In both a container and a vehicle. ","")&amp;IF(AND(H41="Ship",L41=""),"No destination. ","")&amp;IF(AND(J41&lt;&gt;"",L41&lt;&gt;"",IFERROR(VLOOKUP(J41,Containers!$A$5:$F$60,6,FALSE()),L41)&lt;&gt;L41),"Destination differs from container. ","")&amp;IF(AND(K41&lt;&gt;"",L41&lt;&gt;"",IFERROR(VLOOKUP(K41,Vehicles!$A$5:$F$60,6,FALSE()),L41)&lt;&gt;L41),"Destination differs from vehicle. ","")&amp;IF(AND(H41="Stay",OR(J41&lt;&gt;"",K41&lt;&gt;"",L41&lt;&gt;"")),"Marked Stay but has a container/vehicle/destination. ","")&amp;IF(G41="Missing","Reported missing. ","")&amp;IF(AND(P41&lt;&gt;"",N(P41)&lt;0),"Service overdue. ","")))</f>
        <v>Service overdue.</v>
      </c>
      <c r="S41" s="17" t="n">
        <f aca="false">IF(A41="","",IF(CHOOSE(MATCH(Find!$C$4,Lists!$K$2:$K$7,0),F41,E41,J41,K41,L41,G41)=Find!$C$5,MAX(S$4:S40)+1,""))</f>
        <v>3</v>
      </c>
      <c r="T41" s="17" t="str">
        <f aca="false">IF(A41="","",IF(OR(J41=Manifest!$C$4,K41=Manifest!$C$4),MAX(T$4:T40)+1,""))</f>
        <v/>
      </c>
    </row>
    <row r="42" customFormat="false" ht="16.4" hidden="false" customHeight="false" outlineLevel="0" collapsed="false">
      <c r="A42" s="0" t="s">
        <v>255</v>
      </c>
      <c r="B42" s="0" t="s">
        <v>256</v>
      </c>
      <c r="C42" s="14" t="s">
        <v>126</v>
      </c>
      <c r="D42" s="10" t="s">
        <v>257</v>
      </c>
      <c r="E42" s="14" t="s">
        <v>78</v>
      </c>
      <c r="F42" s="14" t="s">
        <v>79</v>
      </c>
      <c r="G42" s="14" t="s">
        <v>30</v>
      </c>
      <c r="H42" s="14" t="s">
        <v>128</v>
      </c>
      <c r="I42" s="0" t="s">
        <v>98</v>
      </c>
      <c r="K42" s="0" t="s">
        <v>242</v>
      </c>
      <c r="L42" s="0" t="s">
        <v>31</v>
      </c>
      <c r="M42" s="12"/>
      <c r="O42" s="15" t="str">
        <f aca="false">IF(OR(M42="",N42=""),"",M42+N42)</f>
        <v/>
      </c>
      <c r="P42" s="16" t="str">
        <f aca="true">IF(O42="","",O42-TODAY())</f>
        <v/>
      </c>
      <c r="Q42" s="17" t="str">
        <f aca="false">IF(A42="","",TRIM(IF(E42="","No owner. ","")&amp;IF(F42="","No storage location. ","")&amp;IF(D42="","Serial missing. ","")&amp;IF(OR(H42="",H42="Undecided"),"No disposition. ","")&amp;IF(AND(H42="Ship",J42="",K42=""),"Shipping but no container/vehicle. ","")&amp;IF(AND(J42&lt;&gt;"",K42&lt;&gt;""),"In both a container and a vehicle. ","")&amp;IF(AND(H42="Ship",L42=""),"No destination. ","")&amp;IF(AND(J42&lt;&gt;"",L42&lt;&gt;"",IFERROR(VLOOKUP(J42,Containers!$A$5:$F$60,6,FALSE()),L42)&lt;&gt;L42),"Destination differs from container. ","")&amp;IF(AND(K42&lt;&gt;"",L42&lt;&gt;"",IFERROR(VLOOKUP(K42,Vehicles!$A$5:$F$60,6,FALSE()),L42)&lt;&gt;L42),"Destination differs from vehicle. ","")&amp;IF(AND(H42="Stay",OR(J42&lt;&gt;"",K42&lt;&gt;"",L42&lt;&gt;"")),"Marked Stay but has a container/vehicle/destination. ","")&amp;IF(G42="Missing","Reported missing. ","")&amp;IF(AND(P42&lt;&gt;"",N(P42)&lt;0),"Service overdue. ","")))</f>
        <v/>
      </c>
      <c r="S42" s="17" t="str">
        <f aca="false">IF(A42="","",IF(CHOOSE(MATCH(Find!$C$4,Lists!$K$2:$K$7,0),F42,E42,J42,K42,L42,G42)=Find!$C$5,MAX(S$4:S41)+1,""))</f>
        <v/>
      </c>
      <c r="T42" s="17" t="str">
        <f aca="false">IF(A42="","",IF(OR(J42=Manifest!$C$4,K42=Manifest!$C$4),MAX(T$4:T41)+1,""))</f>
        <v/>
      </c>
    </row>
    <row r="43" customFormat="false" ht="16.4" hidden="false" customHeight="false" outlineLevel="0" collapsed="false">
      <c r="A43" s="0" t="s">
        <v>258</v>
      </c>
      <c r="B43" s="0" t="s">
        <v>259</v>
      </c>
      <c r="C43" s="14" t="s">
        <v>132</v>
      </c>
      <c r="D43" s="10" t="s">
        <v>260</v>
      </c>
      <c r="E43" s="14" t="s">
        <v>61</v>
      </c>
      <c r="F43" s="14" t="s">
        <v>67</v>
      </c>
      <c r="G43" s="14" t="s">
        <v>32</v>
      </c>
      <c r="H43" s="14" t="s">
        <v>128</v>
      </c>
      <c r="I43" s="0" t="s">
        <v>97</v>
      </c>
      <c r="J43" s="0" t="s">
        <v>184</v>
      </c>
      <c r="L43" s="0" t="s">
        <v>39</v>
      </c>
      <c r="M43" s="12"/>
      <c r="O43" s="15" t="str">
        <f aca="false">IF(OR(M43="",N43=""),"",M43+N43)</f>
        <v/>
      </c>
      <c r="P43" s="16" t="str">
        <f aca="true">IF(O43="","",O43-TODAY())</f>
        <v/>
      </c>
      <c r="Q43" s="17" t="str">
        <f aca="false">IF(A43="","",TRIM(IF(E43="","No owner. ","")&amp;IF(F43="","No storage location. ","")&amp;IF(D43="","Serial missing. ","")&amp;IF(OR(H43="",H43="Undecided"),"No disposition. ","")&amp;IF(AND(H43="Ship",J43="",K43=""),"Shipping but no container/vehicle. ","")&amp;IF(AND(J43&lt;&gt;"",K43&lt;&gt;""),"In both a container and a vehicle. ","")&amp;IF(AND(H43="Ship",L43=""),"No destination. ","")&amp;IF(AND(J43&lt;&gt;"",L43&lt;&gt;"",IFERROR(VLOOKUP(J43,Containers!$A$5:$F$60,6,FALSE()),L43)&lt;&gt;L43),"Destination differs from container. ","")&amp;IF(AND(K43&lt;&gt;"",L43&lt;&gt;"",IFERROR(VLOOKUP(K43,Vehicles!$A$5:$F$60,6,FALSE()),L43)&lt;&gt;L43),"Destination differs from vehicle. ","")&amp;IF(AND(H43="Stay",OR(J43&lt;&gt;"",K43&lt;&gt;"",L43&lt;&gt;"")),"Marked Stay but has a container/vehicle/destination. ","")&amp;IF(G43="Missing","Reported missing. ","")&amp;IF(AND(P43&lt;&gt;"",N(P43)&lt;0),"Service overdue. ","")))</f>
        <v/>
      </c>
      <c r="S43" s="17" t="str">
        <f aca="false">IF(A43="","",IF(CHOOSE(MATCH(Find!$C$4,Lists!$K$2:$K$7,0),F43,E43,J43,K43,L43,G43)=Find!$C$5,MAX(S$4:S42)+1,""))</f>
        <v/>
      </c>
      <c r="T43" s="17" t="str">
        <f aca="false">IF(A43="","",IF(OR(J43=Manifest!$C$4,K43=Manifest!$C$4),MAX(T$4:T42)+1,""))</f>
        <v/>
      </c>
    </row>
    <row r="44" customFormat="false" ht="16.4" hidden="false" customHeight="false" outlineLevel="0" collapsed="false">
      <c r="A44" s="0" t="s">
        <v>261</v>
      </c>
      <c r="B44" s="0" t="s">
        <v>262</v>
      </c>
      <c r="C44" s="14" t="s">
        <v>137</v>
      </c>
      <c r="D44" s="10" t="s">
        <v>263</v>
      </c>
      <c r="E44" s="14" t="s">
        <v>68</v>
      </c>
      <c r="F44" s="14" t="s">
        <v>72</v>
      </c>
      <c r="G44" s="14" t="s">
        <v>35</v>
      </c>
      <c r="H44" s="14" t="s">
        <v>128</v>
      </c>
      <c r="I44" s="0" t="s">
        <v>97</v>
      </c>
      <c r="J44" s="0" t="s">
        <v>208</v>
      </c>
      <c r="L44" s="0" t="s">
        <v>36</v>
      </c>
      <c r="M44" s="12"/>
      <c r="O44" s="15" t="str">
        <f aca="false">IF(OR(M44="",N44=""),"",M44+N44)</f>
        <v/>
      </c>
      <c r="P44" s="16" t="str">
        <f aca="true">IF(O44="","",O44-TODAY())</f>
        <v/>
      </c>
      <c r="Q44" s="17" t="str">
        <f aca="false">IF(A44="","",TRIM(IF(E44="","No owner. ","")&amp;IF(F44="","No storage location. ","")&amp;IF(D44="","Serial missing. ","")&amp;IF(OR(H44="",H44="Undecided"),"No disposition. ","")&amp;IF(AND(H44="Ship",J44="",K44=""),"Shipping but no container/vehicle. ","")&amp;IF(AND(J44&lt;&gt;"",K44&lt;&gt;""),"In both a container and a vehicle. ","")&amp;IF(AND(H44="Ship",L44=""),"No destination. ","")&amp;IF(AND(J44&lt;&gt;"",L44&lt;&gt;"",IFERROR(VLOOKUP(J44,Containers!$A$5:$F$60,6,FALSE()),L44)&lt;&gt;L44),"Destination differs from container. ","")&amp;IF(AND(K44&lt;&gt;"",L44&lt;&gt;"",IFERROR(VLOOKUP(K44,Vehicles!$A$5:$F$60,6,FALSE()),L44)&lt;&gt;L44),"Destination differs from vehicle. ","")&amp;IF(AND(H44="Stay",OR(J44&lt;&gt;"",K44&lt;&gt;"",L44&lt;&gt;"")),"Marked Stay but has a container/vehicle/destination. ","")&amp;IF(G44="Missing","Reported missing. ","")&amp;IF(AND(P44&lt;&gt;"",N(P44)&lt;0),"Service overdue. ","")))</f>
        <v/>
      </c>
      <c r="S44" s="17" t="str">
        <f aca="false">IF(A44="","",IF(CHOOSE(MATCH(Find!$C$4,Lists!$K$2:$K$7,0),F44,E44,J44,K44,L44,G44)=Find!$C$5,MAX(S$4:S43)+1,""))</f>
        <v/>
      </c>
      <c r="T44" s="17" t="str">
        <f aca="false">IF(A44="","",IF(OR(J44=Manifest!$C$4,K44=Manifest!$C$4),MAX(T$4:T43)+1,""))</f>
        <v/>
      </c>
    </row>
    <row r="45" customFormat="false" ht="15" hidden="false" customHeight="false" outlineLevel="0" collapsed="false">
      <c r="C45" s="14"/>
      <c r="E45" s="14"/>
      <c r="F45" s="14"/>
      <c r="G45" s="14"/>
      <c r="H45" s="14"/>
      <c r="M45" s="12"/>
      <c r="O45" s="15" t="str">
        <f aca="false">IF(OR(M45="",N45=""),"",M45+N45)</f>
        <v/>
      </c>
      <c r="P45" s="16" t="str">
        <f aca="true">IF(O45="","",O45-TODAY())</f>
        <v/>
      </c>
      <c r="Q45" s="17" t="str">
        <f aca="false">IF(A45="","",TRIM(IF(E45="","No owner. ","")&amp;IF(F45="","No storage location. ","")&amp;IF(D45="","Serial missing. ","")&amp;IF(OR(H45="",H45="Undecided"),"No disposition. ","")&amp;IF(AND(H45="Ship",J45="",K45=""),"Shipping but no container/vehicle. ","")&amp;IF(AND(J45&lt;&gt;"",K45&lt;&gt;""),"In both a container and a vehicle. ","")&amp;IF(AND(H45="Ship",L45=""),"No destination. ","")&amp;IF(AND(J45&lt;&gt;"",L45&lt;&gt;"",IFERROR(VLOOKUP(J45,Containers!$A$5:$F$60,6,FALSE()),L45)&lt;&gt;L45),"Destination differs from container. ","")&amp;IF(AND(K45&lt;&gt;"",L45&lt;&gt;"",IFERROR(VLOOKUP(K45,Vehicles!$A$5:$F$60,6,FALSE()),L45)&lt;&gt;L45),"Destination differs from vehicle. ","")&amp;IF(AND(H45="Stay",OR(J45&lt;&gt;"",K45&lt;&gt;"",L45&lt;&gt;"")),"Marked Stay but has a container/vehicle/destination. ","")&amp;IF(G45="Missing","Reported missing. ","")&amp;IF(AND(P45&lt;&gt;"",N(P45)&lt;0),"Service overdue. ","")))</f>
        <v/>
      </c>
      <c r="S45" s="17" t="str">
        <f aca="false">IF(A45="","",IF(CHOOSE(MATCH(Find!$C$4,Lists!$K$2:$K$7,0),F45,E45,J45,K45,L45,G45)=Find!$C$5,MAX(S$4:S44)+1,""))</f>
        <v/>
      </c>
      <c r="T45" s="17" t="str">
        <f aca="false">IF(A45="","",IF(OR(J45=Manifest!$C$4,K45=Manifest!$C$4),MAX(T$4:T44)+1,""))</f>
        <v/>
      </c>
    </row>
    <row r="46" customFormat="false" ht="15" hidden="false" customHeight="false" outlineLevel="0" collapsed="false">
      <c r="C46" s="14"/>
      <c r="E46" s="14"/>
      <c r="F46" s="14"/>
      <c r="G46" s="14"/>
      <c r="H46" s="14"/>
      <c r="M46" s="12"/>
      <c r="O46" s="15" t="str">
        <f aca="false">IF(OR(M46="",N46=""),"",M46+N46)</f>
        <v/>
      </c>
      <c r="P46" s="16" t="str">
        <f aca="true">IF(O46="","",O46-TODAY())</f>
        <v/>
      </c>
      <c r="Q46" s="17" t="str">
        <f aca="false">IF(A46="","",TRIM(IF(E46="","No owner. ","")&amp;IF(F46="","No storage location. ","")&amp;IF(D46="","Serial missing. ","")&amp;IF(OR(H46="",H46="Undecided"),"No disposition. ","")&amp;IF(AND(H46="Ship",J46="",K46=""),"Shipping but no container/vehicle. ","")&amp;IF(AND(J46&lt;&gt;"",K46&lt;&gt;""),"In both a container and a vehicle. ","")&amp;IF(AND(H46="Ship",L46=""),"No destination. ","")&amp;IF(AND(J46&lt;&gt;"",L46&lt;&gt;"",IFERROR(VLOOKUP(J46,Containers!$A$5:$F$60,6,FALSE()),L46)&lt;&gt;L46),"Destination differs from container. ","")&amp;IF(AND(K46&lt;&gt;"",L46&lt;&gt;"",IFERROR(VLOOKUP(K46,Vehicles!$A$5:$F$60,6,FALSE()),L46)&lt;&gt;L46),"Destination differs from vehicle. ","")&amp;IF(AND(H46="Stay",OR(J46&lt;&gt;"",K46&lt;&gt;"",L46&lt;&gt;"")),"Marked Stay but has a container/vehicle/destination. ","")&amp;IF(G46="Missing","Reported missing. ","")&amp;IF(AND(P46&lt;&gt;"",N(P46)&lt;0),"Service overdue. ","")))</f>
        <v/>
      </c>
      <c r="S46" s="17" t="str">
        <f aca="false">IF(A46="","",IF(CHOOSE(MATCH(Find!$C$4,Lists!$K$2:$K$7,0),F46,E46,J46,K46,L46,G46)=Find!$C$5,MAX(S$4:S45)+1,""))</f>
        <v/>
      </c>
      <c r="T46" s="17" t="str">
        <f aca="false">IF(A46="","",IF(OR(J46=Manifest!$C$4,K46=Manifest!$C$4),MAX(T$4:T45)+1,""))</f>
        <v/>
      </c>
    </row>
    <row r="47" customFormat="false" ht="15" hidden="false" customHeight="false" outlineLevel="0" collapsed="false">
      <c r="C47" s="14"/>
      <c r="E47" s="14"/>
      <c r="F47" s="14"/>
      <c r="G47" s="14"/>
      <c r="H47" s="14"/>
      <c r="M47" s="12"/>
      <c r="O47" s="15" t="str">
        <f aca="false">IF(OR(M47="",N47=""),"",M47+N47)</f>
        <v/>
      </c>
      <c r="P47" s="16" t="str">
        <f aca="true">IF(O47="","",O47-TODAY())</f>
        <v/>
      </c>
      <c r="Q47" s="17" t="str">
        <f aca="false">IF(A47="","",TRIM(IF(E47="","No owner. ","")&amp;IF(F47="","No storage location. ","")&amp;IF(D47="","Serial missing. ","")&amp;IF(OR(H47="",H47="Undecided"),"No disposition. ","")&amp;IF(AND(H47="Ship",J47="",K47=""),"Shipping but no container/vehicle. ","")&amp;IF(AND(J47&lt;&gt;"",K47&lt;&gt;""),"In both a container and a vehicle. ","")&amp;IF(AND(H47="Ship",L47=""),"No destination. ","")&amp;IF(AND(J47&lt;&gt;"",L47&lt;&gt;"",IFERROR(VLOOKUP(J47,Containers!$A$5:$F$60,6,FALSE()),L47)&lt;&gt;L47),"Destination differs from container. ","")&amp;IF(AND(K47&lt;&gt;"",L47&lt;&gt;"",IFERROR(VLOOKUP(K47,Vehicles!$A$5:$F$60,6,FALSE()),L47)&lt;&gt;L47),"Destination differs from vehicle. ","")&amp;IF(AND(H47="Stay",OR(J47&lt;&gt;"",K47&lt;&gt;"",L47&lt;&gt;"")),"Marked Stay but has a container/vehicle/destination. ","")&amp;IF(G47="Missing","Reported missing. ","")&amp;IF(AND(P47&lt;&gt;"",N(P47)&lt;0),"Service overdue. ","")))</f>
        <v/>
      </c>
      <c r="S47" s="17" t="str">
        <f aca="false">IF(A47="","",IF(CHOOSE(MATCH(Find!$C$4,Lists!$K$2:$K$7,0),F47,E47,J47,K47,L47,G47)=Find!$C$5,MAX(S$4:S46)+1,""))</f>
        <v/>
      </c>
      <c r="T47" s="17" t="str">
        <f aca="false">IF(A47="","",IF(OR(J47=Manifest!$C$4,K47=Manifest!$C$4),MAX(T$4:T46)+1,""))</f>
        <v/>
      </c>
    </row>
    <row r="48" customFormat="false" ht="15" hidden="false" customHeight="false" outlineLevel="0" collapsed="false">
      <c r="C48" s="14"/>
      <c r="E48" s="14"/>
      <c r="F48" s="14"/>
      <c r="G48" s="14"/>
      <c r="H48" s="14"/>
      <c r="M48" s="12"/>
      <c r="O48" s="15" t="str">
        <f aca="false">IF(OR(M48="",N48=""),"",M48+N48)</f>
        <v/>
      </c>
      <c r="P48" s="16" t="str">
        <f aca="true">IF(O48="","",O48-TODAY())</f>
        <v/>
      </c>
      <c r="Q48" s="17" t="str">
        <f aca="false">IF(A48="","",TRIM(IF(E48="","No owner. ","")&amp;IF(F48="","No storage location. ","")&amp;IF(D48="","Serial missing. ","")&amp;IF(OR(H48="",H48="Undecided"),"No disposition. ","")&amp;IF(AND(H48="Ship",J48="",K48=""),"Shipping but no container/vehicle. ","")&amp;IF(AND(J48&lt;&gt;"",K48&lt;&gt;""),"In both a container and a vehicle. ","")&amp;IF(AND(H48="Ship",L48=""),"No destination. ","")&amp;IF(AND(J48&lt;&gt;"",L48&lt;&gt;"",IFERROR(VLOOKUP(J48,Containers!$A$5:$F$60,6,FALSE()),L48)&lt;&gt;L48),"Destination differs from container. ","")&amp;IF(AND(K48&lt;&gt;"",L48&lt;&gt;"",IFERROR(VLOOKUP(K48,Vehicles!$A$5:$F$60,6,FALSE()),L48)&lt;&gt;L48),"Destination differs from vehicle. ","")&amp;IF(AND(H48="Stay",OR(J48&lt;&gt;"",K48&lt;&gt;"",L48&lt;&gt;"")),"Marked Stay but has a container/vehicle/destination. ","")&amp;IF(G48="Missing","Reported missing. ","")&amp;IF(AND(P48&lt;&gt;"",N(P48)&lt;0),"Service overdue. ","")))</f>
        <v/>
      </c>
      <c r="S48" s="17" t="str">
        <f aca="false">IF(A48="","",IF(CHOOSE(MATCH(Find!$C$4,Lists!$K$2:$K$7,0),F48,E48,J48,K48,L48,G48)=Find!$C$5,MAX(S$4:S47)+1,""))</f>
        <v/>
      </c>
      <c r="T48" s="17" t="str">
        <f aca="false">IF(A48="","",IF(OR(J48=Manifest!$C$4,K48=Manifest!$C$4),MAX(T$4:T47)+1,""))</f>
        <v/>
      </c>
    </row>
    <row r="49" customFormat="false" ht="15" hidden="false" customHeight="false" outlineLevel="0" collapsed="false">
      <c r="C49" s="14"/>
      <c r="E49" s="14"/>
      <c r="F49" s="14"/>
      <c r="G49" s="14"/>
      <c r="H49" s="14"/>
      <c r="M49" s="12"/>
      <c r="O49" s="15" t="str">
        <f aca="false">IF(OR(M49="",N49=""),"",M49+N49)</f>
        <v/>
      </c>
      <c r="P49" s="16" t="str">
        <f aca="true">IF(O49="","",O49-TODAY())</f>
        <v/>
      </c>
      <c r="Q49" s="17" t="str">
        <f aca="false">IF(A49="","",TRIM(IF(E49="","No owner. ","")&amp;IF(F49="","No storage location. ","")&amp;IF(D49="","Serial missing. ","")&amp;IF(OR(H49="",H49="Undecided"),"No disposition. ","")&amp;IF(AND(H49="Ship",J49="",K49=""),"Shipping but no container/vehicle. ","")&amp;IF(AND(J49&lt;&gt;"",K49&lt;&gt;""),"In both a container and a vehicle. ","")&amp;IF(AND(H49="Ship",L49=""),"No destination. ","")&amp;IF(AND(J49&lt;&gt;"",L49&lt;&gt;"",IFERROR(VLOOKUP(J49,Containers!$A$5:$F$60,6,FALSE()),L49)&lt;&gt;L49),"Destination differs from container. ","")&amp;IF(AND(K49&lt;&gt;"",L49&lt;&gt;"",IFERROR(VLOOKUP(K49,Vehicles!$A$5:$F$60,6,FALSE()),L49)&lt;&gt;L49),"Destination differs from vehicle. ","")&amp;IF(AND(H49="Stay",OR(J49&lt;&gt;"",K49&lt;&gt;"",L49&lt;&gt;"")),"Marked Stay but has a container/vehicle/destination. ","")&amp;IF(G49="Missing","Reported missing. ","")&amp;IF(AND(P49&lt;&gt;"",N(P49)&lt;0),"Service overdue. ","")))</f>
        <v/>
      </c>
      <c r="S49" s="17" t="str">
        <f aca="false">IF(A49="","",IF(CHOOSE(MATCH(Find!$C$4,Lists!$K$2:$K$7,0),F49,E49,J49,K49,L49,G49)=Find!$C$5,MAX(S$4:S48)+1,""))</f>
        <v/>
      </c>
      <c r="T49" s="17" t="str">
        <f aca="false">IF(A49="","",IF(OR(J49=Manifest!$C$4,K49=Manifest!$C$4),MAX(T$4:T48)+1,""))</f>
        <v/>
      </c>
    </row>
    <row r="50" customFormat="false" ht="15" hidden="false" customHeight="false" outlineLevel="0" collapsed="false">
      <c r="C50" s="14"/>
      <c r="E50" s="14"/>
      <c r="F50" s="14"/>
      <c r="G50" s="14"/>
      <c r="H50" s="14"/>
      <c r="M50" s="12"/>
      <c r="O50" s="15" t="str">
        <f aca="false">IF(OR(M50="",N50=""),"",M50+N50)</f>
        <v/>
      </c>
      <c r="P50" s="16" t="str">
        <f aca="true">IF(O50="","",O50-TODAY())</f>
        <v/>
      </c>
      <c r="Q50" s="17" t="str">
        <f aca="false">IF(A50="","",TRIM(IF(E50="","No owner. ","")&amp;IF(F50="","No storage location. ","")&amp;IF(D50="","Serial missing. ","")&amp;IF(OR(H50="",H50="Undecided"),"No disposition. ","")&amp;IF(AND(H50="Ship",J50="",K50=""),"Shipping but no container/vehicle. ","")&amp;IF(AND(J50&lt;&gt;"",K50&lt;&gt;""),"In both a container and a vehicle. ","")&amp;IF(AND(H50="Ship",L50=""),"No destination. ","")&amp;IF(AND(J50&lt;&gt;"",L50&lt;&gt;"",IFERROR(VLOOKUP(J50,Containers!$A$5:$F$60,6,FALSE()),L50)&lt;&gt;L50),"Destination differs from container. ","")&amp;IF(AND(K50&lt;&gt;"",L50&lt;&gt;"",IFERROR(VLOOKUP(K50,Vehicles!$A$5:$F$60,6,FALSE()),L50)&lt;&gt;L50),"Destination differs from vehicle. ","")&amp;IF(AND(H50="Stay",OR(J50&lt;&gt;"",K50&lt;&gt;"",L50&lt;&gt;"")),"Marked Stay but has a container/vehicle/destination. ","")&amp;IF(G50="Missing","Reported missing. ","")&amp;IF(AND(P50&lt;&gt;"",N(P50)&lt;0),"Service overdue. ","")))</f>
        <v/>
      </c>
      <c r="S50" s="17" t="str">
        <f aca="false">IF(A50="","",IF(CHOOSE(MATCH(Find!$C$4,Lists!$K$2:$K$7,0),F50,E50,J50,K50,L50,G50)=Find!$C$5,MAX(S$4:S49)+1,""))</f>
        <v/>
      </c>
      <c r="T50" s="17" t="str">
        <f aca="false">IF(A50="","",IF(OR(J50=Manifest!$C$4,K50=Manifest!$C$4),MAX(T$4:T49)+1,""))</f>
        <v/>
      </c>
    </row>
    <row r="51" customFormat="false" ht="15" hidden="false" customHeight="false" outlineLevel="0" collapsed="false">
      <c r="C51" s="14"/>
      <c r="E51" s="14"/>
      <c r="F51" s="14"/>
      <c r="G51" s="14"/>
      <c r="H51" s="14"/>
      <c r="M51" s="12"/>
      <c r="O51" s="15" t="str">
        <f aca="false">IF(OR(M51="",N51=""),"",M51+N51)</f>
        <v/>
      </c>
      <c r="P51" s="16" t="str">
        <f aca="true">IF(O51="","",O51-TODAY())</f>
        <v/>
      </c>
      <c r="Q51" s="17" t="str">
        <f aca="false">IF(A51="","",TRIM(IF(E51="","No owner. ","")&amp;IF(F51="","No storage location. ","")&amp;IF(D51="","Serial missing. ","")&amp;IF(OR(H51="",H51="Undecided"),"No disposition. ","")&amp;IF(AND(H51="Ship",J51="",K51=""),"Shipping but no container/vehicle. ","")&amp;IF(AND(J51&lt;&gt;"",K51&lt;&gt;""),"In both a container and a vehicle. ","")&amp;IF(AND(H51="Ship",L51=""),"No destination. ","")&amp;IF(AND(J51&lt;&gt;"",L51&lt;&gt;"",IFERROR(VLOOKUP(J51,Containers!$A$5:$F$60,6,FALSE()),L51)&lt;&gt;L51),"Destination differs from container. ","")&amp;IF(AND(K51&lt;&gt;"",L51&lt;&gt;"",IFERROR(VLOOKUP(K51,Vehicles!$A$5:$F$60,6,FALSE()),L51)&lt;&gt;L51),"Destination differs from vehicle. ","")&amp;IF(AND(H51="Stay",OR(J51&lt;&gt;"",K51&lt;&gt;"",L51&lt;&gt;"")),"Marked Stay but has a container/vehicle/destination. ","")&amp;IF(G51="Missing","Reported missing. ","")&amp;IF(AND(P51&lt;&gt;"",N(P51)&lt;0),"Service overdue. ","")))</f>
        <v/>
      </c>
      <c r="S51" s="17" t="str">
        <f aca="false">IF(A51="","",IF(CHOOSE(MATCH(Find!$C$4,Lists!$K$2:$K$7,0),F51,E51,J51,K51,L51,G51)=Find!$C$5,MAX(S$4:S50)+1,""))</f>
        <v/>
      </c>
      <c r="T51" s="17" t="str">
        <f aca="false">IF(A51="","",IF(OR(J51=Manifest!$C$4,K51=Manifest!$C$4),MAX(T$4:T50)+1,""))</f>
        <v/>
      </c>
    </row>
    <row r="52" customFormat="false" ht="15" hidden="false" customHeight="false" outlineLevel="0" collapsed="false">
      <c r="C52" s="14"/>
      <c r="E52" s="14"/>
      <c r="F52" s="14"/>
      <c r="G52" s="14"/>
      <c r="H52" s="14"/>
      <c r="M52" s="12"/>
      <c r="O52" s="15" t="str">
        <f aca="false">IF(OR(M52="",N52=""),"",M52+N52)</f>
        <v/>
      </c>
      <c r="P52" s="16" t="str">
        <f aca="true">IF(O52="","",O52-TODAY())</f>
        <v/>
      </c>
      <c r="Q52" s="17" t="str">
        <f aca="false">IF(A52="","",TRIM(IF(E52="","No owner. ","")&amp;IF(F52="","No storage location. ","")&amp;IF(D52="","Serial missing. ","")&amp;IF(OR(H52="",H52="Undecided"),"No disposition. ","")&amp;IF(AND(H52="Ship",J52="",K52=""),"Shipping but no container/vehicle. ","")&amp;IF(AND(J52&lt;&gt;"",K52&lt;&gt;""),"In both a container and a vehicle. ","")&amp;IF(AND(H52="Ship",L52=""),"No destination. ","")&amp;IF(AND(J52&lt;&gt;"",L52&lt;&gt;"",IFERROR(VLOOKUP(J52,Containers!$A$5:$F$60,6,FALSE()),L52)&lt;&gt;L52),"Destination differs from container. ","")&amp;IF(AND(K52&lt;&gt;"",L52&lt;&gt;"",IFERROR(VLOOKUP(K52,Vehicles!$A$5:$F$60,6,FALSE()),L52)&lt;&gt;L52),"Destination differs from vehicle. ","")&amp;IF(AND(H52="Stay",OR(J52&lt;&gt;"",K52&lt;&gt;"",L52&lt;&gt;"")),"Marked Stay but has a container/vehicle/destination. ","")&amp;IF(G52="Missing","Reported missing. ","")&amp;IF(AND(P52&lt;&gt;"",N(P52)&lt;0),"Service overdue. ","")))</f>
        <v/>
      </c>
      <c r="S52" s="17" t="str">
        <f aca="false">IF(A52="","",IF(CHOOSE(MATCH(Find!$C$4,Lists!$K$2:$K$7,0),F52,E52,J52,K52,L52,G52)=Find!$C$5,MAX(S$4:S51)+1,""))</f>
        <v/>
      </c>
      <c r="T52" s="17" t="str">
        <f aca="false">IF(A52="","",IF(OR(J52=Manifest!$C$4,K52=Manifest!$C$4),MAX(T$4:T51)+1,""))</f>
        <v/>
      </c>
    </row>
    <row r="53" customFormat="false" ht="15" hidden="false" customHeight="false" outlineLevel="0" collapsed="false">
      <c r="C53" s="14"/>
      <c r="E53" s="14"/>
      <c r="F53" s="14"/>
      <c r="G53" s="14"/>
      <c r="H53" s="14"/>
      <c r="M53" s="12"/>
      <c r="O53" s="15" t="str">
        <f aca="false">IF(OR(M53="",N53=""),"",M53+N53)</f>
        <v/>
      </c>
      <c r="P53" s="16" t="str">
        <f aca="true">IF(O53="","",O53-TODAY())</f>
        <v/>
      </c>
      <c r="Q53" s="17" t="str">
        <f aca="false">IF(A53="","",TRIM(IF(E53="","No owner. ","")&amp;IF(F53="","No storage location. ","")&amp;IF(D53="","Serial missing. ","")&amp;IF(OR(H53="",H53="Undecided"),"No disposition. ","")&amp;IF(AND(H53="Ship",J53="",K53=""),"Shipping but no container/vehicle. ","")&amp;IF(AND(J53&lt;&gt;"",K53&lt;&gt;""),"In both a container and a vehicle. ","")&amp;IF(AND(H53="Ship",L53=""),"No destination. ","")&amp;IF(AND(J53&lt;&gt;"",L53&lt;&gt;"",IFERROR(VLOOKUP(J53,Containers!$A$5:$F$60,6,FALSE()),L53)&lt;&gt;L53),"Destination differs from container. ","")&amp;IF(AND(K53&lt;&gt;"",L53&lt;&gt;"",IFERROR(VLOOKUP(K53,Vehicles!$A$5:$F$60,6,FALSE()),L53)&lt;&gt;L53),"Destination differs from vehicle. ","")&amp;IF(AND(H53="Stay",OR(J53&lt;&gt;"",K53&lt;&gt;"",L53&lt;&gt;"")),"Marked Stay but has a container/vehicle/destination. ","")&amp;IF(G53="Missing","Reported missing. ","")&amp;IF(AND(P53&lt;&gt;"",N(P53)&lt;0),"Service overdue. ","")))</f>
        <v/>
      </c>
      <c r="S53" s="17" t="str">
        <f aca="false">IF(A53="","",IF(CHOOSE(MATCH(Find!$C$4,Lists!$K$2:$K$7,0),F53,E53,J53,K53,L53,G53)=Find!$C$5,MAX(S$4:S52)+1,""))</f>
        <v/>
      </c>
      <c r="T53" s="17" t="str">
        <f aca="false">IF(A53="","",IF(OR(J53=Manifest!$C$4,K53=Manifest!$C$4),MAX(T$4:T52)+1,""))</f>
        <v/>
      </c>
    </row>
    <row r="54" customFormat="false" ht="15" hidden="false" customHeight="false" outlineLevel="0" collapsed="false">
      <c r="C54" s="14"/>
      <c r="E54" s="14"/>
      <c r="F54" s="14"/>
      <c r="G54" s="14"/>
      <c r="H54" s="14"/>
      <c r="M54" s="12"/>
      <c r="O54" s="15" t="str">
        <f aca="false">IF(OR(M54="",N54=""),"",M54+N54)</f>
        <v/>
      </c>
      <c r="P54" s="16" t="str">
        <f aca="true">IF(O54="","",O54-TODAY())</f>
        <v/>
      </c>
      <c r="Q54" s="17" t="str">
        <f aca="false">IF(A54="","",TRIM(IF(E54="","No owner. ","")&amp;IF(F54="","No storage location. ","")&amp;IF(D54="","Serial missing. ","")&amp;IF(OR(H54="",H54="Undecided"),"No disposition. ","")&amp;IF(AND(H54="Ship",J54="",K54=""),"Shipping but no container/vehicle. ","")&amp;IF(AND(J54&lt;&gt;"",K54&lt;&gt;""),"In both a container and a vehicle. ","")&amp;IF(AND(H54="Ship",L54=""),"No destination. ","")&amp;IF(AND(J54&lt;&gt;"",L54&lt;&gt;"",IFERROR(VLOOKUP(J54,Containers!$A$5:$F$60,6,FALSE()),L54)&lt;&gt;L54),"Destination differs from container. ","")&amp;IF(AND(K54&lt;&gt;"",L54&lt;&gt;"",IFERROR(VLOOKUP(K54,Vehicles!$A$5:$F$60,6,FALSE()),L54)&lt;&gt;L54),"Destination differs from vehicle. ","")&amp;IF(AND(H54="Stay",OR(J54&lt;&gt;"",K54&lt;&gt;"",L54&lt;&gt;"")),"Marked Stay but has a container/vehicle/destination. ","")&amp;IF(G54="Missing","Reported missing. ","")&amp;IF(AND(P54&lt;&gt;"",N(P54)&lt;0),"Service overdue. ","")))</f>
        <v/>
      </c>
      <c r="S54" s="17" t="str">
        <f aca="false">IF(A54="","",IF(CHOOSE(MATCH(Find!$C$4,Lists!$K$2:$K$7,0),F54,E54,J54,K54,L54,G54)=Find!$C$5,MAX(S$4:S53)+1,""))</f>
        <v/>
      </c>
      <c r="T54" s="17" t="str">
        <f aca="false">IF(A54="","",IF(OR(J54=Manifest!$C$4,K54=Manifest!$C$4),MAX(T$4:T53)+1,""))</f>
        <v/>
      </c>
    </row>
    <row r="55" customFormat="false" ht="15" hidden="false" customHeight="false" outlineLevel="0" collapsed="false">
      <c r="C55" s="14"/>
      <c r="E55" s="14"/>
      <c r="F55" s="14"/>
      <c r="G55" s="14"/>
      <c r="H55" s="14"/>
      <c r="M55" s="12"/>
      <c r="O55" s="15" t="str">
        <f aca="false">IF(OR(M55="",N55=""),"",M55+N55)</f>
        <v/>
      </c>
      <c r="P55" s="16" t="str">
        <f aca="true">IF(O55="","",O55-TODAY())</f>
        <v/>
      </c>
      <c r="Q55" s="17" t="str">
        <f aca="false">IF(A55="","",TRIM(IF(E55="","No owner. ","")&amp;IF(F55="","No storage location. ","")&amp;IF(D55="","Serial missing. ","")&amp;IF(OR(H55="",H55="Undecided"),"No disposition. ","")&amp;IF(AND(H55="Ship",J55="",K55=""),"Shipping but no container/vehicle. ","")&amp;IF(AND(J55&lt;&gt;"",K55&lt;&gt;""),"In both a container and a vehicle. ","")&amp;IF(AND(H55="Ship",L55=""),"No destination. ","")&amp;IF(AND(J55&lt;&gt;"",L55&lt;&gt;"",IFERROR(VLOOKUP(J55,Containers!$A$5:$F$60,6,FALSE()),L55)&lt;&gt;L55),"Destination differs from container. ","")&amp;IF(AND(K55&lt;&gt;"",L55&lt;&gt;"",IFERROR(VLOOKUP(K55,Vehicles!$A$5:$F$60,6,FALSE()),L55)&lt;&gt;L55),"Destination differs from vehicle. ","")&amp;IF(AND(H55="Stay",OR(J55&lt;&gt;"",K55&lt;&gt;"",L55&lt;&gt;"")),"Marked Stay but has a container/vehicle/destination. ","")&amp;IF(G55="Missing","Reported missing. ","")&amp;IF(AND(P55&lt;&gt;"",N(P55)&lt;0),"Service overdue. ","")))</f>
        <v/>
      </c>
      <c r="S55" s="17" t="str">
        <f aca="false">IF(A55="","",IF(CHOOSE(MATCH(Find!$C$4,Lists!$K$2:$K$7,0),F55,E55,J55,K55,L55,G55)=Find!$C$5,MAX(S$4:S54)+1,""))</f>
        <v/>
      </c>
      <c r="T55" s="17" t="str">
        <f aca="false">IF(A55="","",IF(OR(J55=Manifest!$C$4,K55=Manifest!$C$4),MAX(T$4:T54)+1,""))</f>
        <v/>
      </c>
    </row>
    <row r="56" customFormat="false" ht="15" hidden="false" customHeight="false" outlineLevel="0" collapsed="false">
      <c r="C56" s="14"/>
      <c r="E56" s="14"/>
      <c r="F56" s="14"/>
      <c r="G56" s="14"/>
      <c r="H56" s="14"/>
      <c r="M56" s="12"/>
      <c r="O56" s="15" t="str">
        <f aca="false">IF(OR(M56="",N56=""),"",M56+N56)</f>
        <v/>
      </c>
      <c r="P56" s="16" t="str">
        <f aca="true">IF(O56="","",O56-TODAY())</f>
        <v/>
      </c>
      <c r="Q56" s="17" t="str">
        <f aca="false">IF(A56="","",TRIM(IF(E56="","No owner. ","")&amp;IF(F56="","No storage location. ","")&amp;IF(D56="","Serial missing. ","")&amp;IF(OR(H56="",H56="Undecided"),"No disposition. ","")&amp;IF(AND(H56="Ship",J56="",K56=""),"Shipping but no container/vehicle. ","")&amp;IF(AND(J56&lt;&gt;"",K56&lt;&gt;""),"In both a container and a vehicle. ","")&amp;IF(AND(H56="Ship",L56=""),"No destination. ","")&amp;IF(AND(J56&lt;&gt;"",L56&lt;&gt;"",IFERROR(VLOOKUP(J56,Containers!$A$5:$F$60,6,FALSE()),L56)&lt;&gt;L56),"Destination differs from container. ","")&amp;IF(AND(K56&lt;&gt;"",L56&lt;&gt;"",IFERROR(VLOOKUP(K56,Vehicles!$A$5:$F$60,6,FALSE()),L56)&lt;&gt;L56),"Destination differs from vehicle. ","")&amp;IF(AND(H56="Stay",OR(J56&lt;&gt;"",K56&lt;&gt;"",L56&lt;&gt;"")),"Marked Stay but has a container/vehicle/destination. ","")&amp;IF(G56="Missing","Reported missing. ","")&amp;IF(AND(P56&lt;&gt;"",N(P56)&lt;0),"Service overdue. ","")))</f>
        <v/>
      </c>
      <c r="S56" s="17" t="str">
        <f aca="false">IF(A56="","",IF(CHOOSE(MATCH(Find!$C$4,Lists!$K$2:$K$7,0),F56,E56,J56,K56,L56,G56)=Find!$C$5,MAX(S$4:S55)+1,""))</f>
        <v/>
      </c>
      <c r="T56" s="17" t="str">
        <f aca="false">IF(A56="","",IF(OR(J56=Manifest!$C$4,K56=Manifest!$C$4),MAX(T$4:T55)+1,""))</f>
        <v/>
      </c>
    </row>
    <row r="57" customFormat="false" ht="15" hidden="false" customHeight="false" outlineLevel="0" collapsed="false">
      <c r="C57" s="14"/>
      <c r="E57" s="14"/>
      <c r="F57" s="14"/>
      <c r="G57" s="14"/>
      <c r="H57" s="14"/>
      <c r="M57" s="12"/>
      <c r="O57" s="15" t="str">
        <f aca="false">IF(OR(M57="",N57=""),"",M57+N57)</f>
        <v/>
      </c>
      <c r="P57" s="16" t="str">
        <f aca="true">IF(O57="","",O57-TODAY())</f>
        <v/>
      </c>
      <c r="Q57" s="17" t="str">
        <f aca="false">IF(A57="","",TRIM(IF(E57="","No owner. ","")&amp;IF(F57="","No storage location. ","")&amp;IF(D57="","Serial missing. ","")&amp;IF(OR(H57="",H57="Undecided"),"No disposition. ","")&amp;IF(AND(H57="Ship",J57="",K57=""),"Shipping but no container/vehicle. ","")&amp;IF(AND(J57&lt;&gt;"",K57&lt;&gt;""),"In both a container and a vehicle. ","")&amp;IF(AND(H57="Ship",L57=""),"No destination. ","")&amp;IF(AND(J57&lt;&gt;"",L57&lt;&gt;"",IFERROR(VLOOKUP(J57,Containers!$A$5:$F$60,6,FALSE()),L57)&lt;&gt;L57),"Destination differs from container. ","")&amp;IF(AND(K57&lt;&gt;"",L57&lt;&gt;"",IFERROR(VLOOKUP(K57,Vehicles!$A$5:$F$60,6,FALSE()),L57)&lt;&gt;L57),"Destination differs from vehicle. ","")&amp;IF(AND(H57="Stay",OR(J57&lt;&gt;"",K57&lt;&gt;"",L57&lt;&gt;"")),"Marked Stay but has a container/vehicle/destination. ","")&amp;IF(G57="Missing","Reported missing. ","")&amp;IF(AND(P57&lt;&gt;"",N(P57)&lt;0),"Service overdue. ","")))</f>
        <v/>
      </c>
      <c r="S57" s="17" t="str">
        <f aca="false">IF(A57="","",IF(CHOOSE(MATCH(Find!$C$4,Lists!$K$2:$K$7,0),F57,E57,J57,K57,L57,G57)=Find!$C$5,MAX(S$4:S56)+1,""))</f>
        <v/>
      </c>
      <c r="T57" s="17" t="str">
        <f aca="false">IF(A57="","",IF(OR(J57=Manifest!$C$4,K57=Manifest!$C$4),MAX(T$4:T56)+1,""))</f>
        <v/>
      </c>
    </row>
    <row r="58" customFormat="false" ht="15" hidden="false" customHeight="false" outlineLevel="0" collapsed="false">
      <c r="C58" s="14"/>
      <c r="E58" s="14"/>
      <c r="F58" s="14"/>
      <c r="G58" s="14"/>
      <c r="H58" s="14"/>
      <c r="M58" s="12"/>
      <c r="O58" s="15" t="str">
        <f aca="false">IF(OR(M58="",N58=""),"",M58+N58)</f>
        <v/>
      </c>
      <c r="P58" s="16" t="str">
        <f aca="true">IF(O58="","",O58-TODAY())</f>
        <v/>
      </c>
      <c r="Q58" s="17" t="str">
        <f aca="false">IF(A58="","",TRIM(IF(E58="","No owner. ","")&amp;IF(F58="","No storage location. ","")&amp;IF(D58="","Serial missing. ","")&amp;IF(OR(H58="",H58="Undecided"),"No disposition. ","")&amp;IF(AND(H58="Ship",J58="",K58=""),"Shipping but no container/vehicle. ","")&amp;IF(AND(J58&lt;&gt;"",K58&lt;&gt;""),"In both a container and a vehicle. ","")&amp;IF(AND(H58="Ship",L58=""),"No destination. ","")&amp;IF(AND(J58&lt;&gt;"",L58&lt;&gt;"",IFERROR(VLOOKUP(J58,Containers!$A$5:$F$60,6,FALSE()),L58)&lt;&gt;L58),"Destination differs from container. ","")&amp;IF(AND(K58&lt;&gt;"",L58&lt;&gt;"",IFERROR(VLOOKUP(K58,Vehicles!$A$5:$F$60,6,FALSE()),L58)&lt;&gt;L58),"Destination differs from vehicle. ","")&amp;IF(AND(H58="Stay",OR(J58&lt;&gt;"",K58&lt;&gt;"",L58&lt;&gt;"")),"Marked Stay but has a container/vehicle/destination. ","")&amp;IF(G58="Missing","Reported missing. ","")&amp;IF(AND(P58&lt;&gt;"",N(P58)&lt;0),"Service overdue. ","")))</f>
        <v/>
      </c>
      <c r="S58" s="17" t="str">
        <f aca="false">IF(A58="","",IF(CHOOSE(MATCH(Find!$C$4,Lists!$K$2:$K$7,0),F58,E58,J58,K58,L58,G58)=Find!$C$5,MAX(S$4:S57)+1,""))</f>
        <v/>
      </c>
      <c r="T58" s="17" t="str">
        <f aca="false">IF(A58="","",IF(OR(J58=Manifest!$C$4,K58=Manifest!$C$4),MAX(T$4:T57)+1,""))</f>
        <v/>
      </c>
    </row>
    <row r="59" customFormat="false" ht="15" hidden="false" customHeight="false" outlineLevel="0" collapsed="false">
      <c r="C59" s="14"/>
      <c r="E59" s="14"/>
      <c r="F59" s="14"/>
      <c r="G59" s="14"/>
      <c r="H59" s="14"/>
      <c r="M59" s="12"/>
      <c r="O59" s="15" t="str">
        <f aca="false">IF(OR(M59="",N59=""),"",M59+N59)</f>
        <v/>
      </c>
      <c r="P59" s="16" t="str">
        <f aca="true">IF(O59="","",O59-TODAY())</f>
        <v/>
      </c>
      <c r="Q59" s="17" t="str">
        <f aca="false">IF(A59="","",TRIM(IF(E59="","No owner. ","")&amp;IF(F59="","No storage location. ","")&amp;IF(D59="","Serial missing. ","")&amp;IF(OR(H59="",H59="Undecided"),"No disposition. ","")&amp;IF(AND(H59="Ship",J59="",K59=""),"Shipping but no container/vehicle. ","")&amp;IF(AND(J59&lt;&gt;"",K59&lt;&gt;""),"In both a container and a vehicle. ","")&amp;IF(AND(H59="Ship",L59=""),"No destination. ","")&amp;IF(AND(J59&lt;&gt;"",L59&lt;&gt;"",IFERROR(VLOOKUP(J59,Containers!$A$5:$F$60,6,FALSE()),L59)&lt;&gt;L59),"Destination differs from container. ","")&amp;IF(AND(K59&lt;&gt;"",L59&lt;&gt;"",IFERROR(VLOOKUP(K59,Vehicles!$A$5:$F$60,6,FALSE()),L59)&lt;&gt;L59),"Destination differs from vehicle. ","")&amp;IF(AND(H59="Stay",OR(J59&lt;&gt;"",K59&lt;&gt;"",L59&lt;&gt;"")),"Marked Stay but has a container/vehicle/destination. ","")&amp;IF(G59="Missing","Reported missing. ","")&amp;IF(AND(P59&lt;&gt;"",N(P59)&lt;0),"Service overdue. ","")))</f>
        <v/>
      </c>
      <c r="S59" s="17" t="str">
        <f aca="false">IF(A59="","",IF(CHOOSE(MATCH(Find!$C$4,Lists!$K$2:$K$7,0),F59,E59,J59,K59,L59,G59)=Find!$C$5,MAX(S$4:S58)+1,""))</f>
        <v/>
      </c>
      <c r="T59" s="17" t="str">
        <f aca="false">IF(A59="","",IF(OR(J59=Manifest!$C$4,K59=Manifest!$C$4),MAX(T$4:T58)+1,""))</f>
        <v/>
      </c>
    </row>
    <row r="60" customFormat="false" ht="15" hidden="false" customHeight="false" outlineLevel="0" collapsed="false">
      <c r="C60" s="14"/>
      <c r="E60" s="14"/>
      <c r="F60" s="14"/>
      <c r="G60" s="14"/>
      <c r="H60" s="14"/>
      <c r="M60" s="12"/>
      <c r="O60" s="15" t="str">
        <f aca="false">IF(OR(M60="",N60=""),"",M60+N60)</f>
        <v/>
      </c>
      <c r="P60" s="16" t="str">
        <f aca="true">IF(O60="","",O60-TODAY())</f>
        <v/>
      </c>
      <c r="Q60" s="17" t="str">
        <f aca="false">IF(A60="","",TRIM(IF(E60="","No owner. ","")&amp;IF(F60="","No storage location. ","")&amp;IF(D60="","Serial missing. ","")&amp;IF(OR(H60="",H60="Undecided"),"No disposition. ","")&amp;IF(AND(H60="Ship",J60="",K60=""),"Shipping but no container/vehicle. ","")&amp;IF(AND(J60&lt;&gt;"",K60&lt;&gt;""),"In both a container and a vehicle. ","")&amp;IF(AND(H60="Ship",L60=""),"No destination. ","")&amp;IF(AND(J60&lt;&gt;"",L60&lt;&gt;"",IFERROR(VLOOKUP(J60,Containers!$A$5:$F$60,6,FALSE()),L60)&lt;&gt;L60),"Destination differs from container. ","")&amp;IF(AND(K60&lt;&gt;"",L60&lt;&gt;"",IFERROR(VLOOKUP(K60,Vehicles!$A$5:$F$60,6,FALSE()),L60)&lt;&gt;L60),"Destination differs from vehicle. ","")&amp;IF(AND(H60="Stay",OR(J60&lt;&gt;"",K60&lt;&gt;"",L60&lt;&gt;"")),"Marked Stay but has a container/vehicle/destination. ","")&amp;IF(G60="Missing","Reported missing. ","")&amp;IF(AND(P60&lt;&gt;"",N(P60)&lt;0),"Service overdue. ","")))</f>
        <v/>
      </c>
      <c r="S60" s="17" t="str">
        <f aca="false">IF(A60="","",IF(CHOOSE(MATCH(Find!$C$4,Lists!$K$2:$K$7,0),F60,E60,J60,K60,L60,G60)=Find!$C$5,MAX(S$4:S59)+1,""))</f>
        <v/>
      </c>
      <c r="T60" s="17" t="str">
        <f aca="false">IF(A60="","",IF(OR(J60=Manifest!$C$4,K60=Manifest!$C$4),MAX(T$4:T59)+1,""))</f>
        <v/>
      </c>
    </row>
    <row r="61" customFormat="false" ht="15" hidden="false" customHeight="false" outlineLevel="0" collapsed="false">
      <c r="C61" s="14"/>
      <c r="E61" s="14"/>
      <c r="F61" s="14"/>
      <c r="G61" s="14"/>
      <c r="H61" s="14"/>
      <c r="M61" s="12"/>
      <c r="O61" s="15" t="str">
        <f aca="false">IF(OR(M61="",N61=""),"",M61+N61)</f>
        <v/>
      </c>
      <c r="P61" s="16" t="str">
        <f aca="true">IF(O61="","",O61-TODAY())</f>
        <v/>
      </c>
      <c r="Q61" s="17" t="str">
        <f aca="false">IF(A61="","",TRIM(IF(E61="","No owner. ","")&amp;IF(F61="","No storage location. ","")&amp;IF(D61="","Serial missing. ","")&amp;IF(OR(H61="",H61="Undecided"),"No disposition. ","")&amp;IF(AND(H61="Ship",J61="",K61=""),"Shipping but no container/vehicle. ","")&amp;IF(AND(J61&lt;&gt;"",K61&lt;&gt;""),"In both a container and a vehicle. ","")&amp;IF(AND(H61="Ship",L61=""),"No destination. ","")&amp;IF(AND(J61&lt;&gt;"",L61&lt;&gt;"",IFERROR(VLOOKUP(J61,Containers!$A$5:$F$60,6,FALSE()),L61)&lt;&gt;L61),"Destination differs from container. ","")&amp;IF(AND(K61&lt;&gt;"",L61&lt;&gt;"",IFERROR(VLOOKUP(K61,Vehicles!$A$5:$F$60,6,FALSE()),L61)&lt;&gt;L61),"Destination differs from vehicle. ","")&amp;IF(AND(H61="Stay",OR(J61&lt;&gt;"",K61&lt;&gt;"",L61&lt;&gt;"")),"Marked Stay but has a container/vehicle/destination. ","")&amp;IF(G61="Missing","Reported missing. ","")&amp;IF(AND(P61&lt;&gt;"",N(P61)&lt;0),"Service overdue. ","")))</f>
        <v/>
      </c>
      <c r="S61" s="17" t="str">
        <f aca="false">IF(A61="","",IF(CHOOSE(MATCH(Find!$C$4,Lists!$K$2:$K$7,0),F61,E61,J61,K61,L61,G61)=Find!$C$5,MAX(S$4:S60)+1,""))</f>
        <v/>
      </c>
      <c r="T61" s="17" t="str">
        <f aca="false">IF(A61="","",IF(OR(J61=Manifest!$C$4,K61=Manifest!$C$4),MAX(T$4:T60)+1,""))</f>
        <v/>
      </c>
    </row>
    <row r="62" customFormat="false" ht="15" hidden="false" customHeight="false" outlineLevel="0" collapsed="false">
      <c r="C62" s="14"/>
      <c r="E62" s="14"/>
      <c r="F62" s="14"/>
      <c r="G62" s="14"/>
      <c r="H62" s="14"/>
      <c r="M62" s="12"/>
      <c r="O62" s="15" t="str">
        <f aca="false">IF(OR(M62="",N62=""),"",M62+N62)</f>
        <v/>
      </c>
      <c r="P62" s="16" t="str">
        <f aca="true">IF(O62="","",O62-TODAY())</f>
        <v/>
      </c>
      <c r="Q62" s="17" t="str">
        <f aca="false">IF(A62="","",TRIM(IF(E62="","No owner. ","")&amp;IF(F62="","No storage location. ","")&amp;IF(D62="","Serial missing. ","")&amp;IF(OR(H62="",H62="Undecided"),"No disposition. ","")&amp;IF(AND(H62="Ship",J62="",K62=""),"Shipping but no container/vehicle. ","")&amp;IF(AND(J62&lt;&gt;"",K62&lt;&gt;""),"In both a container and a vehicle. ","")&amp;IF(AND(H62="Ship",L62=""),"No destination. ","")&amp;IF(AND(J62&lt;&gt;"",L62&lt;&gt;"",IFERROR(VLOOKUP(J62,Containers!$A$5:$F$60,6,FALSE()),L62)&lt;&gt;L62),"Destination differs from container. ","")&amp;IF(AND(K62&lt;&gt;"",L62&lt;&gt;"",IFERROR(VLOOKUP(K62,Vehicles!$A$5:$F$60,6,FALSE()),L62)&lt;&gt;L62),"Destination differs from vehicle. ","")&amp;IF(AND(H62="Stay",OR(J62&lt;&gt;"",K62&lt;&gt;"",L62&lt;&gt;"")),"Marked Stay but has a container/vehicle/destination. ","")&amp;IF(G62="Missing","Reported missing. ","")&amp;IF(AND(P62&lt;&gt;"",N(P62)&lt;0),"Service overdue. ","")))</f>
        <v/>
      </c>
      <c r="S62" s="17" t="str">
        <f aca="false">IF(A62="","",IF(CHOOSE(MATCH(Find!$C$4,Lists!$K$2:$K$7,0),F62,E62,J62,K62,L62,G62)=Find!$C$5,MAX(S$4:S61)+1,""))</f>
        <v/>
      </c>
      <c r="T62" s="17" t="str">
        <f aca="false">IF(A62="","",IF(OR(J62=Manifest!$C$4,K62=Manifest!$C$4),MAX(T$4:T61)+1,""))</f>
        <v/>
      </c>
    </row>
    <row r="63" customFormat="false" ht="15" hidden="false" customHeight="false" outlineLevel="0" collapsed="false">
      <c r="C63" s="14"/>
      <c r="E63" s="14"/>
      <c r="F63" s="14"/>
      <c r="G63" s="14"/>
      <c r="H63" s="14"/>
      <c r="M63" s="12"/>
      <c r="O63" s="15" t="str">
        <f aca="false">IF(OR(M63="",N63=""),"",M63+N63)</f>
        <v/>
      </c>
      <c r="P63" s="16" t="str">
        <f aca="true">IF(O63="","",O63-TODAY())</f>
        <v/>
      </c>
      <c r="Q63" s="17" t="str">
        <f aca="false">IF(A63="","",TRIM(IF(E63="","No owner. ","")&amp;IF(F63="","No storage location. ","")&amp;IF(D63="","Serial missing. ","")&amp;IF(OR(H63="",H63="Undecided"),"No disposition. ","")&amp;IF(AND(H63="Ship",J63="",K63=""),"Shipping but no container/vehicle. ","")&amp;IF(AND(J63&lt;&gt;"",K63&lt;&gt;""),"In both a container and a vehicle. ","")&amp;IF(AND(H63="Ship",L63=""),"No destination. ","")&amp;IF(AND(J63&lt;&gt;"",L63&lt;&gt;"",IFERROR(VLOOKUP(J63,Containers!$A$5:$F$60,6,FALSE()),L63)&lt;&gt;L63),"Destination differs from container. ","")&amp;IF(AND(K63&lt;&gt;"",L63&lt;&gt;"",IFERROR(VLOOKUP(K63,Vehicles!$A$5:$F$60,6,FALSE()),L63)&lt;&gt;L63),"Destination differs from vehicle. ","")&amp;IF(AND(H63="Stay",OR(J63&lt;&gt;"",K63&lt;&gt;"",L63&lt;&gt;"")),"Marked Stay but has a container/vehicle/destination. ","")&amp;IF(G63="Missing","Reported missing. ","")&amp;IF(AND(P63&lt;&gt;"",N(P63)&lt;0),"Service overdue. ","")))</f>
        <v/>
      </c>
      <c r="S63" s="17" t="str">
        <f aca="false">IF(A63="","",IF(CHOOSE(MATCH(Find!$C$4,Lists!$K$2:$K$7,0),F63,E63,J63,K63,L63,G63)=Find!$C$5,MAX(S$4:S62)+1,""))</f>
        <v/>
      </c>
      <c r="T63" s="17" t="str">
        <f aca="false">IF(A63="","",IF(OR(J63=Manifest!$C$4,K63=Manifest!$C$4),MAX(T$4:T62)+1,""))</f>
        <v/>
      </c>
    </row>
    <row r="64" customFormat="false" ht="15" hidden="false" customHeight="false" outlineLevel="0" collapsed="false">
      <c r="C64" s="14"/>
      <c r="E64" s="14"/>
      <c r="F64" s="14"/>
      <c r="G64" s="14"/>
      <c r="H64" s="14"/>
      <c r="M64" s="12"/>
      <c r="O64" s="15" t="str">
        <f aca="false">IF(OR(M64="",N64=""),"",M64+N64)</f>
        <v/>
      </c>
      <c r="P64" s="16" t="str">
        <f aca="true">IF(O64="","",O64-TODAY())</f>
        <v/>
      </c>
      <c r="Q64" s="17" t="str">
        <f aca="false">IF(A64="","",TRIM(IF(E64="","No owner. ","")&amp;IF(F64="","No storage location. ","")&amp;IF(D64="","Serial missing. ","")&amp;IF(OR(H64="",H64="Undecided"),"No disposition. ","")&amp;IF(AND(H64="Ship",J64="",K64=""),"Shipping but no container/vehicle. ","")&amp;IF(AND(J64&lt;&gt;"",K64&lt;&gt;""),"In both a container and a vehicle. ","")&amp;IF(AND(H64="Ship",L64=""),"No destination. ","")&amp;IF(AND(J64&lt;&gt;"",L64&lt;&gt;"",IFERROR(VLOOKUP(J64,Containers!$A$5:$F$60,6,FALSE()),L64)&lt;&gt;L64),"Destination differs from container. ","")&amp;IF(AND(K64&lt;&gt;"",L64&lt;&gt;"",IFERROR(VLOOKUP(K64,Vehicles!$A$5:$F$60,6,FALSE()),L64)&lt;&gt;L64),"Destination differs from vehicle. ","")&amp;IF(AND(H64="Stay",OR(J64&lt;&gt;"",K64&lt;&gt;"",L64&lt;&gt;"")),"Marked Stay but has a container/vehicle/destination. ","")&amp;IF(G64="Missing","Reported missing. ","")&amp;IF(AND(P64&lt;&gt;"",N(P64)&lt;0),"Service overdue. ","")))</f>
        <v/>
      </c>
      <c r="S64" s="17" t="str">
        <f aca="false">IF(A64="","",IF(CHOOSE(MATCH(Find!$C$4,Lists!$K$2:$K$7,0),F64,E64,J64,K64,L64,G64)=Find!$C$5,MAX(S$4:S63)+1,""))</f>
        <v/>
      </c>
      <c r="T64" s="17" t="str">
        <f aca="false">IF(A64="","",IF(OR(J64=Manifest!$C$4,K64=Manifest!$C$4),MAX(T$4:T63)+1,""))</f>
        <v/>
      </c>
    </row>
    <row r="65" customFormat="false" ht="15" hidden="false" customHeight="false" outlineLevel="0" collapsed="false">
      <c r="C65" s="14"/>
      <c r="E65" s="14"/>
      <c r="F65" s="14"/>
      <c r="G65" s="14"/>
      <c r="H65" s="14"/>
      <c r="M65" s="12"/>
      <c r="O65" s="15" t="str">
        <f aca="false">IF(OR(M65="",N65=""),"",M65+N65)</f>
        <v/>
      </c>
      <c r="P65" s="16" t="str">
        <f aca="true">IF(O65="","",O65-TODAY())</f>
        <v/>
      </c>
      <c r="Q65" s="17" t="str">
        <f aca="false">IF(A65="","",TRIM(IF(E65="","No owner. ","")&amp;IF(F65="","No storage location. ","")&amp;IF(D65="","Serial missing. ","")&amp;IF(OR(H65="",H65="Undecided"),"No disposition. ","")&amp;IF(AND(H65="Ship",J65="",K65=""),"Shipping but no container/vehicle. ","")&amp;IF(AND(J65&lt;&gt;"",K65&lt;&gt;""),"In both a container and a vehicle. ","")&amp;IF(AND(H65="Ship",L65=""),"No destination. ","")&amp;IF(AND(J65&lt;&gt;"",L65&lt;&gt;"",IFERROR(VLOOKUP(J65,Containers!$A$5:$F$60,6,FALSE()),L65)&lt;&gt;L65),"Destination differs from container. ","")&amp;IF(AND(K65&lt;&gt;"",L65&lt;&gt;"",IFERROR(VLOOKUP(K65,Vehicles!$A$5:$F$60,6,FALSE()),L65)&lt;&gt;L65),"Destination differs from vehicle. ","")&amp;IF(AND(H65="Stay",OR(J65&lt;&gt;"",K65&lt;&gt;"",L65&lt;&gt;"")),"Marked Stay but has a container/vehicle/destination. ","")&amp;IF(G65="Missing","Reported missing. ","")&amp;IF(AND(P65&lt;&gt;"",N(P65)&lt;0),"Service overdue. ","")))</f>
        <v/>
      </c>
      <c r="S65" s="17" t="str">
        <f aca="false">IF(A65="","",IF(CHOOSE(MATCH(Find!$C$4,Lists!$K$2:$K$7,0),F65,E65,J65,K65,L65,G65)=Find!$C$5,MAX(S$4:S64)+1,""))</f>
        <v/>
      </c>
      <c r="T65" s="17" t="str">
        <f aca="false">IF(A65="","",IF(OR(J65=Manifest!$C$4,K65=Manifest!$C$4),MAX(T$4:T64)+1,""))</f>
        <v/>
      </c>
    </row>
    <row r="66" customFormat="false" ht="15" hidden="false" customHeight="false" outlineLevel="0" collapsed="false">
      <c r="C66" s="14"/>
      <c r="E66" s="14"/>
      <c r="F66" s="14"/>
      <c r="G66" s="14"/>
      <c r="H66" s="14"/>
      <c r="M66" s="12"/>
      <c r="O66" s="15" t="str">
        <f aca="false">IF(OR(M66="",N66=""),"",M66+N66)</f>
        <v/>
      </c>
      <c r="P66" s="16" t="str">
        <f aca="true">IF(O66="","",O66-TODAY())</f>
        <v/>
      </c>
      <c r="Q66" s="17" t="str">
        <f aca="false">IF(A66="","",TRIM(IF(E66="","No owner. ","")&amp;IF(F66="","No storage location. ","")&amp;IF(D66="","Serial missing. ","")&amp;IF(OR(H66="",H66="Undecided"),"No disposition. ","")&amp;IF(AND(H66="Ship",J66="",K66=""),"Shipping but no container/vehicle. ","")&amp;IF(AND(J66&lt;&gt;"",K66&lt;&gt;""),"In both a container and a vehicle. ","")&amp;IF(AND(H66="Ship",L66=""),"No destination. ","")&amp;IF(AND(J66&lt;&gt;"",L66&lt;&gt;"",IFERROR(VLOOKUP(J66,Containers!$A$5:$F$60,6,FALSE()),L66)&lt;&gt;L66),"Destination differs from container. ","")&amp;IF(AND(K66&lt;&gt;"",L66&lt;&gt;"",IFERROR(VLOOKUP(K66,Vehicles!$A$5:$F$60,6,FALSE()),L66)&lt;&gt;L66),"Destination differs from vehicle. ","")&amp;IF(AND(H66="Stay",OR(J66&lt;&gt;"",K66&lt;&gt;"",L66&lt;&gt;"")),"Marked Stay but has a container/vehicle/destination. ","")&amp;IF(G66="Missing","Reported missing. ","")&amp;IF(AND(P66&lt;&gt;"",N(P66)&lt;0),"Service overdue. ","")))</f>
        <v/>
      </c>
      <c r="S66" s="17" t="str">
        <f aca="false">IF(A66="","",IF(CHOOSE(MATCH(Find!$C$4,Lists!$K$2:$K$7,0),F66,E66,J66,K66,L66,G66)=Find!$C$5,MAX(S$4:S65)+1,""))</f>
        <v/>
      </c>
      <c r="T66" s="17" t="str">
        <f aca="false">IF(A66="","",IF(OR(J66=Manifest!$C$4,K66=Manifest!$C$4),MAX(T$4:T65)+1,""))</f>
        <v/>
      </c>
    </row>
    <row r="67" customFormat="false" ht="15" hidden="false" customHeight="false" outlineLevel="0" collapsed="false">
      <c r="C67" s="14"/>
      <c r="E67" s="14"/>
      <c r="F67" s="14"/>
      <c r="G67" s="14"/>
      <c r="H67" s="14"/>
      <c r="M67" s="12"/>
      <c r="O67" s="15" t="str">
        <f aca="false">IF(OR(M67="",N67=""),"",M67+N67)</f>
        <v/>
      </c>
      <c r="P67" s="16" t="str">
        <f aca="true">IF(O67="","",O67-TODAY())</f>
        <v/>
      </c>
      <c r="Q67" s="17" t="str">
        <f aca="false">IF(A67="","",TRIM(IF(E67="","No owner. ","")&amp;IF(F67="","No storage location. ","")&amp;IF(D67="","Serial missing. ","")&amp;IF(OR(H67="",H67="Undecided"),"No disposition. ","")&amp;IF(AND(H67="Ship",J67="",K67=""),"Shipping but no container/vehicle. ","")&amp;IF(AND(J67&lt;&gt;"",K67&lt;&gt;""),"In both a container and a vehicle. ","")&amp;IF(AND(H67="Ship",L67=""),"No destination. ","")&amp;IF(AND(J67&lt;&gt;"",L67&lt;&gt;"",IFERROR(VLOOKUP(J67,Containers!$A$5:$F$60,6,FALSE()),L67)&lt;&gt;L67),"Destination differs from container. ","")&amp;IF(AND(K67&lt;&gt;"",L67&lt;&gt;"",IFERROR(VLOOKUP(K67,Vehicles!$A$5:$F$60,6,FALSE()),L67)&lt;&gt;L67),"Destination differs from vehicle. ","")&amp;IF(AND(H67="Stay",OR(J67&lt;&gt;"",K67&lt;&gt;"",L67&lt;&gt;"")),"Marked Stay but has a container/vehicle/destination. ","")&amp;IF(G67="Missing","Reported missing. ","")&amp;IF(AND(P67&lt;&gt;"",N(P67)&lt;0),"Service overdue. ","")))</f>
        <v/>
      </c>
      <c r="S67" s="17" t="str">
        <f aca="false">IF(A67="","",IF(CHOOSE(MATCH(Find!$C$4,Lists!$K$2:$K$7,0),F67,E67,J67,K67,L67,G67)=Find!$C$5,MAX(S$4:S66)+1,""))</f>
        <v/>
      </c>
      <c r="T67" s="17" t="str">
        <f aca="false">IF(A67="","",IF(OR(J67=Manifest!$C$4,K67=Manifest!$C$4),MAX(T$4:T66)+1,""))</f>
        <v/>
      </c>
    </row>
    <row r="68" customFormat="false" ht="15" hidden="false" customHeight="false" outlineLevel="0" collapsed="false">
      <c r="C68" s="14"/>
      <c r="E68" s="14"/>
      <c r="F68" s="14"/>
      <c r="G68" s="14"/>
      <c r="H68" s="14"/>
      <c r="M68" s="12"/>
      <c r="O68" s="15" t="str">
        <f aca="false">IF(OR(M68="",N68=""),"",M68+N68)</f>
        <v/>
      </c>
      <c r="P68" s="16" t="str">
        <f aca="true">IF(O68="","",O68-TODAY())</f>
        <v/>
      </c>
      <c r="Q68" s="17" t="str">
        <f aca="false">IF(A68="","",TRIM(IF(E68="","No owner. ","")&amp;IF(F68="","No storage location. ","")&amp;IF(D68="","Serial missing. ","")&amp;IF(OR(H68="",H68="Undecided"),"No disposition. ","")&amp;IF(AND(H68="Ship",J68="",K68=""),"Shipping but no container/vehicle. ","")&amp;IF(AND(J68&lt;&gt;"",K68&lt;&gt;""),"In both a container and a vehicle. ","")&amp;IF(AND(H68="Ship",L68=""),"No destination. ","")&amp;IF(AND(J68&lt;&gt;"",L68&lt;&gt;"",IFERROR(VLOOKUP(J68,Containers!$A$5:$F$60,6,FALSE()),L68)&lt;&gt;L68),"Destination differs from container. ","")&amp;IF(AND(K68&lt;&gt;"",L68&lt;&gt;"",IFERROR(VLOOKUP(K68,Vehicles!$A$5:$F$60,6,FALSE()),L68)&lt;&gt;L68),"Destination differs from vehicle. ","")&amp;IF(AND(H68="Stay",OR(J68&lt;&gt;"",K68&lt;&gt;"",L68&lt;&gt;"")),"Marked Stay but has a container/vehicle/destination. ","")&amp;IF(G68="Missing","Reported missing. ","")&amp;IF(AND(P68&lt;&gt;"",N(P68)&lt;0),"Service overdue. ","")))</f>
        <v/>
      </c>
      <c r="S68" s="17" t="str">
        <f aca="false">IF(A68="","",IF(CHOOSE(MATCH(Find!$C$4,Lists!$K$2:$K$7,0),F68,E68,J68,K68,L68,G68)=Find!$C$5,MAX(S$4:S67)+1,""))</f>
        <v/>
      </c>
      <c r="T68" s="17" t="str">
        <f aca="false">IF(A68="","",IF(OR(J68=Manifest!$C$4,K68=Manifest!$C$4),MAX(T$4:T67)+1,""))</f>
        <v/>
      </c>
    </row>
    <row r="69" customFormat="false" ht="15" hidden="false" customHeight="false" outlineLevel="0" collapsed="false">
      <c r="C69" s="14"/>
      <c r="E69" s="14"/>
      <c r="F69" s="14"/>
      <c r="G69" s="14"/>
      <c r="H69" s="14"/>
      <c r="M69" s="12"/>
      <c r="O69" s="15" t="str">
        <f aca="false">IF(OR(M69="",N69=""),"",M69+N69)</f>
        <v/>
      </c>
      <c r="P69" s="16" t="str">
        <f aca="true">IF(O69="","",O69-TODAY())</f>
        <v/>
      </c>
      <c r="Q69" s="17" t="str">
        <f aca="false">IF(A69="","",TRIM(IF(E69="","No owner. ","")&amp;IF(F69="","No storage location. ","")&amp;IF(D69="","Serial missing. ","")&amp;IF(OR(H69="",H69="Undecided"),"No disposition. ","")&amp;IF(AND(H69="Ship",J69="",K69=""),"Shipping but no container/vehicle. ","")&amp;IF(AND(J69&lt;&gt;"",K69&lt;&gt;""),"In both a container and a vehicle. ","")&amp;IF(AND(H69="Ship",L69=""),"No destination. ","")&amp;IF(AND(J69&lt;&gt;"",L69&lt;&gt;"",IFERROR(VLOOKUP(J69,Containers!$A$5:$F$60,6,FALSE()),L69)&lt;&gt;L69),"Destination differs from container. ","")&amp;IF(AND(K69&lt;&gt;"",L69&lt;&gt;"",IFERROR(VLOOKUP(K69,Vehicles!$A$5:$F$60,6,FALSE()),L69)&lt;&gt;L69),"Destination differs from vehicle. ","")&amp;IF(AND(H69="Stay",OR(J69&lt;&gt;"",K69&lt;&gt;"",L69&lt;&gt;"")),"Marked Stay but has a container/vehicle/destination. ","")&amp;IF(G69="Missing","Reported missing. ","")&amp;IF(AND(P69&lt;&gt;"",N(P69)&lt;0),"Service overdue. ","")))</f>
        <v/>
      </c>
      <c r="S69" s="17" t="str">
        <f aca="false">IF(A69="","",IF(CHOOSE(MATCH(Find!$C$4,Lists!$K$2:$K$7,0),F69,E69,J69,K69,L69,G69)=Find!$C$5,MAX(S$4:S68)+1,""))</f>
        <v/>
      </c>
      <c r="T69" s="17" t="str">
        <f aca="false">IF(A69="","",IF(OR(J69=Manifest!$C$4,K69=Manifest!$C$4),MAX(T$4:T68)+1,""))</f>
        <v/>
      </c>
    </row>
    <row r="70" customFormat="false" ht="15" hidden="false" customHeight="false" outlineLevel="0" collapsed="false">
      <c r="C70" s="14"/>
      <c r="E70" s="14"/>
      <c r="F70" s="14"/>
      <c r="G70" s="14"/>
      <c r="H70" s="14"/>
      <c r="M70" s="12"/>
      <c r="O70" s="15" t="str">
        <f aca="false">IF(OR(M70="",N70=""),"",M70+N70)</f>
        <v/>
      </c>
      <c r="P70" s="16" t="str">
        <f aca="true">IF(O70="","",O70-TODAY())</f>
        <v/>
      </c>
      <c r="Q70" s="17" t="str">
        <f aca="false">IF(A70="","",TRIM(IF(E70="","No owner. ","")&amp;IF(F70="","No storage location. ","")&amp;IF(D70="","Serial missing. ","")&amp;IF(OR(H70="",H70="Undecided"),"No disposition. ","")&amp;IF(AND(H70="Ship",J70="",K70=""),"Shipping but no container/vehicle. ","")&amp;IF(AND(J70&lt;&gt;"",K70&lt;&gt;""),"In both a container and a vehicle. ","")&amp;IF(AND(H70="Ship",L70=""),"No destination. ","")&amp;IF(AND(J70&lt;&gt;"",L70&lt;&gt;"",IFERROR(VLOOKUP(J70,Containers!$A$5:$F$60,6,FALSE()),L70)&lt;&gt;L70),"Destination differs from container. ","")&amp;IF(AND(K70&lt;&gt;"",L70&lt;&gt;"",IFERROR(VLOOKUP(K70,Vehicles!$A$5:$F$60,6,FALSE()),L70)&lt;&gt;L70),"Destination differs from vehicle. ","")&amp;IF(AND(H70="Stay",OR(J70&lt;&gt;"",K70&lt;&gt;"",L70&lt;&gt;"")),"Marked Stay but has a container/vehicle/destination. ","")&amp;IF(G70="Missing","Reported missing. ","")&amp;IF(AND(P70&lt;&gt;"",N(P70)&lt;0),"Service overdue. ","")))</f>
        <v/>
      </c>
      <c r="S70" s="17" t="str">
        <f aca="false">IF(A70="","",IF(CHOOSE(MATCH(Find!$C$4,Lists!$K$2:$K$7,0),F70,E70,J70,K70,L70,G70)=Find!$C$5,MAX(S$4:S69)+1,""))</f>
        <v/>
      </c>
      <c r="T70" s="17" t="str">
        <f aca="false">IF(A70="","",IF(OR(J70=Manifest!$C$4,K70=Manifest!$C$4),MAX(T$4:T69)+1,""))</f>
        <v/>
      </c>
    </row>
    <row r="71" customFormat="false" ht="15" hidden="false" customHeight="false" outlineLevel="0" collapsed="false">
      <c r="C71" s="14"/>
      <c r="E71" s="14"/>
      <c r="F71" s="14"/>
      <c r="G71" s="14"/>
      <c r="H71" s="14"/>
      <c r="M71" s="12"/>
      <c r="O71" s="15" t="str">
        <f aca="false">IF(OR(M71="",N71=""),"",M71+N71)</f>
        <v/>
      </c>
      <c r="P71" s="16" t="str">
        <f aca="true">IF(O71="","",O71-TODAY())</f>
        <v/>
      </c>
      <c r="Q71" s="17" t="str">
        <f aca="false">IF(A71="","",TRIM(IF(E71="","No owner. ","")&amp;IF(F71="","No storage location. ","")&amp;IF(D71="","Serial missing. ","")&amp;IF(OR(H71="",H71="Undecided"),"No disposition. ","")&amp;IF(AND(H71="Ship",J71="",K71=""),"Shipping but no container/vehicle. ","")&amp;IF(AND(J71&lt;&gt;"",K71&lt;&gt;""),"In both a container and a vehicle. ","")&amp;IF(AND(H71="Ship",L71=""),"No destination. ","")&amp;IF(AND(J71&lt;&gt;"",L71&lt;&gt;"",IFERROR(VLOOKUP(J71,Containers!$A$5:$F$60,6,FALSE()),L71)&lt;&gt;L71),"Destination differs from container. ","")&amp;IF(AND(K71&lt;&gt;"",L71&lt;&gt;"",IFERROR(VLOOKUP(K71,Vehicles!$A$5:$F$60,6,FALSE()),L71)&lt;&gt;L71),"Destination differs from vehicle. ","")&amp;IF(AND(H71="Stay",OR(J71&lt;&gt;"",K71&lt;&gt;"",L71&lt;&gt;"")),"Marked Stay but has a container/vehicle/destination. ","")&amp;IF(G71="Missing","Reported missing. ","")&amp;IF(AND(P71&lt;&gt;"",N(P71)&lt;0),"Service overdue. ","")))</f>
        <v/>
      </c>
      <c r="S71" s="17" t="str">
        <f aca="false">IF(A71="","",IF(CHOOSE(MATCH(Find!$C$4,Lists!$K$2:$K$7,0),F71,E71,J71,K71,L71,G71)=Find!$C$5,MAX(S$4:S70)+1,""))</f>
        <v/>
      </c>
      <c r="T71" s="17" t="str">
        <f aca="false">IF(A71="","",IF(OR(J71=Manifest!$C$4,K71=Manifest!$C$4),MAX(T$4:T70)+1,""))</f>
        <v/>
      </c>
    </row>
    <row r="72" customFormat="false" ht="15" hidden="false" customHeight="false" outlineLevel="0" collapsed="false">
      <c r="C72" s="14"/>
      <c r="E72" s="14"/>
      <c r="F72" s="14"/>
      <c r="G72" s="14"/>
      <c r="H72" s="14"/>
      <c r="M72" s="12"/>
      <c r="O72" s="15" t="str">
        <f aca="false">IF(OR(M72="",N72=""),"",M72+N72)</f>
        <v/>
      </c>
      <c r="P72" s="16" t="str">
        <f aca="true">IF(O72="","",O72-TODAY())</f>
        <v/>
      </c>
      <c r="Q72" s="17" t="str">
        <f aca="false">IF(A72="","",TRIM(IF(E72="","No owner. ","")&amp;IF(F72="","No storage location. ","")&amp;IF(D72="","Serial missing. ","")&amp;IF(OR(H72="",H72="Undecided"),"No disposition. ","")&amp;IF(AND(H72="Ship",J72="",K72=""),"Shipping but no container/vehicle. ","")&amp;IF(AND(J72&lt;&gt;"",K72&lt;&gt;""),"In both a container and a vehicle. ","")&amp;IF(AND(H72="Ship",L72=""),"No destination. ","")&amp;IF(AND(J72&lt;&gt;"",L72&lt;&gt;"",IFERROR(VLOOKUP(J72,Containers!$A$5:$F$60,6,FALSE()),L72)&lt;&gt;L72),"Destination differs from container. ","")&amp;IF(AND(K72&lt;&gt;"",L72&lt;&gt;"",IFERROR(VLOOKUP(K72,Vehicles!$A$5:$F$60,6,FALSE()),L72)&lt;&gt;L72),"Destination differs from vehicle. ","")&amp;IF(AND(H72="Stay",OR(J72&lt;&gt;"",K72&lt;&gt;"",L72&lt;&gt;"")),"Marked Stay but has a container/vehicle/destination. ","")&amp;IF(G72="Missing","Reported missing. ","")&amp;IF(AND(P72&lt;&gt;"",N(P72)&lt;0),"Service overdue. ","")))</f>
        <v/>
      </c>
      <c r="S72" s="17" t="str">
        <f aca="false">IF(A72="","",IF(CHOOSE(MATCH(Find!$C$4,Lists!$K$2:$K$7,0),F72,E72,J72,K72,L72,G72)=Find!$C$5,MAX(S$4:S71)+1,""))</f>
        <v/>
      </c>
      <c r="T72" s="17" t="str">
        <f aca="false">IF(A72="","",IF(OR(J72=Manifest!$C$4,K72=Manifest!$C$4),MAX(T$4:T71)+1,""))</f>
        <v/>
      </c>
    </row>
    <row r="73" customFormat="false" ht="15" hidden="false" customHeight="false" outlineLevel="0" collapsed="false">
      <c r="C73" s="14"/>
      <c r="E73" s="14"/>
      <c r="F73" s="14"/>
      <c r="G73" s="14"/>
      <c r="H73" s="14"/>
      <c r="M73" s="12"/>
      <c r="O73" s="15" t="str">
        <f aca="false">IF(OR(M73="",N73=""),"",M73+N73)</f>
        <v/>
      </c>
      <c r="P73" s="16" t="str">
        <f aca="true">IF(O73="","",O73-TODAY())</f>
        <v/>
      </c>
      <c r="Q73" s="17" t="str">
        <f aca="false">IF(A73="","",TRIM(IF(E73="","No owner. ","")&amp;IF(F73="","No storage location. ","")&amp;IF(D73="","Serial missing. ","")&amp;IF(OR(H73="",H73="Undecided"),"No disposition. ","")&amp;IF(AND(H73="Ship",J73="",K73=""),"Shipping but no container/vehicle. ","")&amp;IF(AND(J73&lt;&gt;"",K73&lt;&gt;""),"In both a container and a vehicle. ","")&amp;IF(AND(H73="Ship",L73=""),"No destination. ","")&amp;IF(AND(J73&lt;&gt;"",L73&lt;&gt;"",IFERROR(VLOOKUP(J73,Containers!$A$5:$F$60,6,FALSE()),L73)&lt;&gt;L73),"Destination differs from container. ","")&amp;IF(AND(K73&lt;&gt;"",L73&lt;&gt;"",IFERROR(VLOOKUP(K73,Vehicles!$A$5:$F$60,6,FALSE()),L73)&lt;&gt;L73),"Destination differs from vehicle. ","")&amp;IF(AND(H73="Stay",OR(J73&lt;&gt;"",K73&lt;&gt;"",L73&lt;&gt;"")),"Marked Stay but has a container/vehicle/destination. ","")&amp;IF(G73="Missing","Reported missing. ","")&amp;IF(AND(P73&lt;&gt;"",N(P73)&lt;0),"Service overdue. ","")))</f>
        <v/>
      </c>
      <c r="S73" s="17" t="str">
        <f aca="false">IF(A73="","",IF(CHOOSE(MATCH(Find!$C$4,Lists!$K$2:$K$7,0),F73,E73,J73,K73,L73,G73)=Find!$C$5,MAX(S$4:S72)+1,""))</f>
        <v/>
      </c>
      <c r="T73" s="17" t="str">
        <f aca="false">IF(A73="","",IF(OR(J73=Manifest!$C$4,K73=Manifest!$C$4),MAX(T$4:T72)+1,""))</f>
        <v/>
      </c>
    </row>
    <row r="74" customFormat="false" ht="15" hidden="false" customHeight="false" outlineLevel="0" collapsed="false">
      <c r="C74" s="14"/>
      <c r="E74" s="14"/>
      <c r="F74" s="14"/>
      <c r="G74" s="14"/>
      <c r="H74" s="14"/>
      <c r="M74" s="12"/>
      <c r="O74" s="15" t="str">
        <f aca="false">IF(OR(M74="",N74=""),"",M74+N74)</f>
        <v/>
      </c>
      <c r="P74" s="16" t="str">
        <f aca="true">IF(O74="","",O74-TODAY())</f>
        <v/>
      </c>
      <c r="Q74" s="17" t="str">
        <f aca="false">IF(A74="","",TRIM(IF(E74="","No owner. ","")&amp;IF(F74="","No storage location. ","")&amp;IF(D74="","Serial missing. ","")&amp;IF(OR(H74="",H74="Undecided"),"No disposition. ","")&amp;IF(AND(H74="Ship",J74="",K74=""),"Shipping but no container/vehicle. ","")&amp;IF(AND(J74&lt;&gt;"",K74&lt;&gt;""),"In both a container and a vehicle. ","")&amp;IF(AND(H74="Ship",L74=""),"No destination. ","")&amp;IF(AND(J74&lt;&gt;"",L74&lt;&gt;"",IFERROR(VLOOKUP(J74,Containers!$A$5:$F$60,6,FALSE()),L74)&lt;&gt;L74),"Destination differs from container. ","")&amp;IF(AND(K74&lt;&gt;"",L74&lt;&gt;"",IFERROR(VLOOKUP(K74,Vehicles!$A$5:$F$60,6,FALSE()),L74)&lt;&gt;L74),"Destination differs from vehicle. ","")&amp;IF(AND(H74="Stay",OR(J74&lt;&gt;"",K74&lt;&gt;"",L74&lt;&gt;"")),"Marked Stay but has a container/vehicle/destination. ","")&amp;IF(G74="Missing","Reported missing. ","")&amp;IF(AND(P74&lt;&gt;"",N(P74)&lt;0),"Service overdue. ","")))</f>
        <v/>
      </c>
      <c r="S74" s="17" t="str">
        <f aca="false">IF(A74="","",IF(CHOOSE(MATCH(Find!$C$4,Lists!$K$2:$K$7,0),F74,E74,J74,K74,L74,G74)=Find!$C$5,MAX(S$4:S73)+1,""))</f>
        <v/>
      </c>
      <c r="T74" s="17" t="str">
        <f aca="false">IF(A74="","",IF(OR(J74=Manifest!$C$4,K74=Manifest!$C$4),MAX(T$4:T73)+1,""))</f>
        <v/>
      </c>
    </row>
    <row r="75" customFormat="false" ht="15" hidden="false" customHeight="false" outlineLevel="0" collapsed="false">
      <c r="C75" s="14"/>
      <c r="E75" s="14"/>
      <c r="F75" s="14"/>
      <c r="G75" s="14"/>
      <c r="H75" s="14"/>
      <c r="M75" s="12"/>
      <c r="O75" s="15" t="str">
        <f aca="false">IF(OR(M75="",N75=""),"",M75+N75)</f>
        <v/>
      </c>
      <c r="P75" s="16" t="str">
        <f aca="true">IF(O75="","",O75-TODAY())</f>
        <v/>
      </c>
      <c r="Q75" s="17" t="str">
        <f aca="false">IF(A75="","",TRIM(IF(E75="","No owner. ","")&amp;IF(F75="","No storage location. ","")&amp;IF(D75="","Serial missing. ","")&amp;IF(OR(H75="",H75="Undecided"),"No disposition. ","")&amp;IF(AND(H75="Ship",J75="",K75=""),"Shipping but no container/vehicle. ","")&amp;IF(AND(J75&lt;&gt;"",K75&lt;&gt;""),"In both a container and a vehicle. ","")&amp;IF(AND(H75="Ship",L75=""),"No destination. ","")&amp;IF(AND(J75&lt;&gt;"",L75&lt;&gt;"",IFERROR(VLOOKUP(J75,Containers!$A$5:$F$60,6,FALSE()),L75)&lt;&gt;L75),"Destination differs from container. ","")&amp;IF(AND(K75&lt;&gt;"",L75&lt;&gt;"",IFERROR(VLOOKUP(K75,Vehicles!$A$5:$F$60,6,FALSE()),L75)&lt;&gt;L75),"Destination differs from vehicle. ","")&amp;IF(AND(H75="Stay",OR(J75&lt;&gt;"",K75&lt;&gt;"",L75&lt;&gt;"")),"Marked Stay but has a container/vehicle/destination. ","")&amp;IF(G75="Missing","Reported missing. ","")&amp;IF(AND(P75&lt;&gt;"",N(P75)&lt;0),"Service overdue. ","")))</f>
        <v/>
      </c>
      <c r="S75" s="17" t="str">
        <f aca="false">IF(A75="","",IF(CHOOSE(MATCH(Find!$C$4,Lists!$K$2:$K$7,0),F75,E75,J75,K75,L75,G75)=Find!$C$5,MAX(S$4:S74)+1,""))</f>
        <v/>
      </c>
      <c r="T75" s="17" t="str">
        <f aca="false">IF(A75="","",IF(OR(J75=Manifest!$C$4,K75=Manifest!$C$4),MAX(T$4:T74)+1,""))</f>
        <v/>
      </c>
    </row>
    <row r="76" customFormat="false" ht="15" hidden="false" customHeight="false" outlineLevel="0" collapsed="false">
      <c r="C76" s="14"/>
      <c r="E76" s="14"/>
      <c r="F76" s="14"/>
      <c r="G76" s="14"/>
      <c r="H76" s="14"/>
      <c r="M76" s="12"/>
      <c r="O76" s="15" t="str">
        <f aca="false">IF(OR(M76="",N76=""),"",M76+N76)</f>
        <v/>
      </c>
      <c r="P76" s="16" t="str">
        <f aca="true">IF(O76="","",O76-TODAY())</f>
        <v/>
      </c>
      <c r="Q76" s="17" t="str">
        <f aca="false">IF(A76="","",TRIM(IF(E76="","No owner. ","")&amp;IF(F76="","No storage location. ","")&amp;IF(D76="","Serial missing. ","")&amp;IF(OR(H76="",H76="Undecided"),"No disposition. ","")&amp;IF(AND(H76="Ship",J76="",K76=""),"Shipping but no container/vehicle. ","")&amp;IF(AND(J76&lt;&gt;"",K76&lt;&gt;""),"In both a container and a vehicle. ","")&amp;IF(AND(H76="Ship",L76=""),"No destination. ","")&amp;IF(AND(J76&lt;&gt;"",L76&lt;&gt;"",IFERROR(VLOOKUP(J76,Containers!$A$5:$F$60,6,FALSE()),L76)&lt;&gt;L76),"Destination differs from container. ","")&amp;IF(AND(K76&lt;&gt;"",L76&lt;&gt;"",IFERROR(VLOOKUP(K76,Vehicles!$A$5:$F$60,6,FALSE()),L76)&lt;&gt;L76),"Destination differs from vehicle. ","")&amp;IF(AND(H76="Stay",OR(J76&lt;&gt;"",K76&lt;&gt;"",L76&lt;&gt;"")),"Marked Stay but has a container/vehicle/destination. ","")&amp;IF(G76="Missing","Reported missing. ","")&amp;IF(AND(P76&lt;&gt;"",N(P76)&lt;0),"Service overdue. ","")))</f>
        <v/>
      </c>
      <c r="S76" s="17" t="str">
        <f aca="false">IF(A76="","",IF(CHOOSE(MATCH(Find!$C$4,Lists!$K$2:$K$7,0),F76,E76,J76,K76,L76,G76)=Find!$C$5,MAX(S$4:S75)+1,""))</f>
        <v/>
      </c>
      <c r="T76" s="17" t="str">
        <f aca="false">IF(A76="","",IF(OR(J76=Manifest!$C$4,K76=Manifest!$C$4),MAX(T$4:T75)+1,""))</f>
        <v/>
      </c>
    </row>
    <row r="77" customFormat="false" ht="15" hidden="false" customHeight="false" outlineLevel="0" collapsed="false">
      <c r="C77" s="14"/>
      <c r="E77" s="14"/>
      <c r="F77" s="14"/>
      <c r="G77" s="14"/>
      <c r="H77" s="14"/>
      <c r="M77" s="12"/>
      <c r="O77" s="15" t="str">
        <f aca="false">IF(OR(M77="",N77=""),"",M77+N77)</f>
        <v/>
      </c>
      <c r="P77" s="16" t="str">
        <f aca="true">IF(O77="","",O77-TODAY())</f>
        <v/>
      </c>
      <c r="Q77" s="17" t="str">
        <f aca="false">IF(A77="","",TRIM(IF(E77="","No owner. ","")&amp;IF(F77="","No storage location. ","")&amp;IF(D77="","Serial missing. ","")&amp;IF(OR(H77="",H77="Undecided"),"No disposition. ","")&amp;IF(AND(H77="Ship",J77="",K77=""),"Shipping but no container/vehicle. ","")&amp;IF(AND(J77&lt;&gt;"",K77&lt;&gt;""),"In both a container and a vehicle. ","")&amp;IF(AND(H77="Ship",L77=""),"No destination. ","")&amp;IF(AND(J77&lt;&gt;"",L77&lt;&gt;"",IFERROR(VLOOKUP(J77,Containers!$A$5:$F$60,6,FALSE()),L77)&lt;&gt;L77),"Destination differs from container. ","")&amp;IF(AND(K77&lt;&gt;"",L77&lt;&gt;"",IFERROR(VLOOKUP(K77,Vehicles!$A$5:$F$60,6,FALSE()),L77)&lt;&gt;L77),"Destination differs from vehicle. ","")&amp;IF(AND(H77="Stay",OR(J77&lt;&gt;"",K77&lt;&gt;"",L77&lt;&gt;"")),"Marked Stay but has a container/vehicle/destination. ","")&amp;IF(G77="Missing","Reported missing. ","")&amp;IF(AND(P77&lt;&gt;"",N(P77)&lt;0),"Service overdue. ","")))</f>
        <v/>
      </c>
      <c r="S77" s="17" t="str">
        <f aca="false">IF(A77="","",IF(CHOOSE(MATCH(Find!$C$4,Lists!$K$2:$K$7,0),F77,E77,J77,K77,L77,G77)=Find!$C$5,MAX(S$4:S76)+1,""))</f>
        <v/>
      </c>
      <c r="T77" s="17" t="str">
        <f aca="false">IF(A77="","",IF(OR(J77=Manifest!$C$4,K77=Manifest!$C$4),MAX(T$4:T76)+1,""))</f>
        <v/>
      </c>
    </row>
    <row r="78" customFormat="false" ht="15" hidden="false" customHeight="false" outlineLevel="0" collapsed="false">
      <c r="C78" s="14"/>
      <c r="E78" s="14"/>
      <c r="F78" s="14"/>
      <c r="G78" s="14"/>
      <c r="H78" s="14"/>
      <c r="M78" s="12"/>
      <c r="O78" s="15" t="str">
        <f aca="false">IF(OR(M78="",N78=""),"",M78+N78)</f>
        <v/>
      </c>
      <c r="P78" s="16" t="str">
        <f aca="true">IF(O78="","",O78-TODAY())</f>
        <v/>
      </c>
      <c r="Q78" s="17" t="str">
        <f aca="false">IF(A78="","",TRIM(IF(E78="","No owner. ","")&amp;IF(F78="","No storage location. ","")&amp;IF(D78="","Serial missing. ","")&amp;IF(OR(H78="",H78="Undecided"),"No disposition. ","")&amp;IF(AND(H78="Ship",J78="",K78=""),"Shipping but no container/vehicle. ","")&amp;IF(AND(J78&lt;&gt;"",K78&lt;&gt;""),"In both a container and a vehicle. ","")&amp;IF(AND(H78="Ship",L78=""),"No destination. ","")&amp;IF(AND(J78&lt;&gt;"",L78&lt;&gt;"",IFERROR(VLOOKUP(J78,Containers!$A$5:$F$60,6,FALSE()),L78)&lt;&gt;L78),"Destination differs from container. ","")&amp;IF(AND(K78&lt;&gt;"",L78&lt;&gt;"",IFERROR(VLOOKUP(K78,Vehicles!$A$5:$F$60,6,FALSE()),L78)&lt;&gt;L78),"Destination differs from vehicle. ","")&amp;IF(AND(H78="Stay",OR(J78&lt;&gt;"",K78&lt;&gt;"",L78&lt;&gt;"")),"Marked Stay but has a container/vehicle/destination. ","")&amp;IF(G78="Missing","Reported missing. ","")&amp;IF(AND(P78&lt;&gt;"",N(P78)&lt;0),"Service overdue. ","")))</f>
        <v/>
      </c>
      <c r="S78" s="17" t="str">
        <f aca="false">IF(A78="","",IF(CHOOSE(MATCH(Find!$C$4,Lists!$K$2:$K$7,0),F78,E78,J78,K78,L78,G78)=Find!$C$5,MAX(S$4:S77)+1,""))</f>
        <v/>
      </c>
      <c r="T78" s="17" t="str">
        <f aca="false">IF(A78="","",IF(OR(J78=Manifest!$C$4,K78=Manifest!$C$4),MAX(T$4:T77)+1,""))</f>
        <v/>
      </c>
    </row>
    <row r="79" customFormat="false" ht="15" hidden="false" customHeight="false" outlineLevel="0" collapsed="false">
      <c r="C79" s="14"/>
      <c r="E79" s="14"/>
      <c r="F79" s="14"/>
      <c r="G79" s="14"/>
      <c r="H79" s="14"/>
      <c r="M79" s="12"/>
      <c r="O79" s="15" t="str">
        <f aca="false">IF(OR(M79="",N79=""),"",M79+N79)</f>
        <v/>
      </c>
      <c r="P79" s="16" t="str">
        <f aca="true">IF(O79="","",O79-TODAY())</f>
        <v/>
      </c>
      <c r="Q79" s="17" t="str">
        <f aca="false">IF(A79="","",TRIM(IF(E79="","No owner. ","")&amp;IF(F79="","No storage location. ","")&amp;IF(D79="","Serial missing. ","")&amp;IF(OR(H79="",H79="Undecided"),"No disposition. ","")&amp;IF(AND(H79="Ship",J79="",K79=""),"Shipping but no container/vehicle. ","")&amp;IF(AND(J79&lt;&gt;"",K79&lt;&gt;""),"In both a container and a vehicle. ","")&amp;IF(AND(H79="Ship",L79=""),"No destination. ","")&amp;IF(AND(J79&lt;&gt;"",L79&lt;&gt;"",IFERROR(VLOOKUP(J79,Containers!$A$5:$F$60,6,FALSE()),L79)&lt;&gt;L79),"Destination differs from container. ","")&amp;IF(AND(K79&lt;&gt;"",L79&lt;&gt;"",IFERROR(VLOOKUP(K79,Vehicles!$A$5:$F$60,6,FALSE()),L79)&lt;&gt;L79),"Destination differs from vehicle. ","")&amp;IF(AND(H79="Stay",OR(J79&lt;&gt;"",K79&lt;&gt;"",L79&lt;&gt;"")),"Marked Stay but has a container/vehicle/destination. ","")&amp;IF(G79="Missing","Reported missing. ","")&amp;IF(AND(P79&lt;&gt;"",N(P79)&lt;0),"Service overdue. ","")))</f>
        <v/>
      </c>
      <c r="S79" s="17" t="str">
        <f aca="false">IF(A79="","",IF(CHOOSE(MATCH(Find!$C$4,Lists!$K$2:$K$7,0),F79,E79,J79,K79,L79,G79)=Find!$C$5,MAX(S$4:S78)+1,""))</f>
        <v/>
      </c>
      <c r="T79" s="17" t="str">
        <f aca="false">IF(A79="","",IF(OR(J79=Manifest!$C$4,K79=Manifest!$C$4),MAX(T$4:T78)+1,""))</f>
        <v/>
      </c>
    </row>
    <row r="80" customFormat="false" ht="15" hidden="false" customHeight="false" outlineLevel="0" collapsed="false">
      <c r="C80" s="14"/>
      <c r="E80" s="14"/>
      <c r="F80" s="14"/>
      <c r="G80" s="14"/>
      <c r="H80" s="14"/>
      <c r="M80" s="12"/>
      <c r="O80" s="15" t="str">
        <f aca="false">IF(OR(M80="",N80=""),"",M80+N80)</f>
        <v/>
      </c>
      <c r="P80" s="16" t="str">
        <f aca="true">IF(O80="","",O80-TODAY())</f>
        <v/>
      </c>
      <c r="Q80" s="17" t="str">
        <f aca="false">IF(A80="","",TRIM(IF(E80="","No owner. ","")&amp;IF(F80="","No storage location. ","")&amp;IF(D80="","Serial missing. ","")&amp;IF(OR(H80="",H80="Undecided"),"No disposition. ","")&amp;IF(AND(H80="Ship",J80="",K80=""),"Shipping but no container/vehicle. ","")&amp;IF(AND(J80&lt;&gt;"",K80&lt;&gt;""),"In both a container and a vehicle. ","")&amp;IF(AND(H80="Ship",L80=""),"No destination. ","")&amp;IF(AND(J80&lt;&gt;"",L80&lt;&gt;"",IFERROR(VLOOKUP(J80,Containers!$A$5:$F$60,6,FALSE()),L80)&lt;&gt;L80),"Destination differs from container. ","")&amp;IF(AND(K80&lt;&gt;"",L80&lt;&gt;"",IFERROR(VLOOKUP(K80,Vehicles!$A$5:$F$60,6,FALSE()),L80)&lt;&gt;L80),"Destination differs from vehicle. ","")&amp;IF(AND(H80="Stay",OR(J80&lt;&gt;"",K80&lt;&gt;"",L80&lt;&gt;"")),"Marked Stay but has a container/vehicle/destination. ","")&amp;IF(G80="Missing","Reported missing. ","")&amp;IF(AND(P80&lt;&gt;"",N(P80)&lt;0),"Service overdue. ","")))</f>
        <v/>
      </c>
      <c r="S80" s="17" t="str">
        <f aca="false">IF(A80="","",IF(CHOOSE(MATCH(Find!$C$4,Lists!$K$2:$K$7,0),F80,E80,J80,K80,L80,G80)=Find!$C$5,MAX(S$4:S79)+1,""))</f>
        <v/>
      </c>
      <c r="T80" s="17" t="str">
        <f aca="false">IF(A80="","",IF(OR(J80=Manifest!$C$4,K80=Manifest!$C$4),MAX(T$4:T79)+1,""))</f>
        <v/>
      </c>
    </row>
    <row r="81" customFormat="false" ht="15" hidden="false" customHeight="false" outlineLevel="0" collapsed="false">
      <c r="C81" s="14"/>
      <c r="E81" s="14"/>
      <c r="F81" s="14"/>
      <c r="G81" s="14"/>
      <c r="H81" s="14"/>
      <c r="M81" s="12"/>
      <c r="O81" s="15" t="str">
        <f aca="false">IF(OR(M81="",N81=""),"",M81+N81)</f>
        <v/>
      </c>
      <c r="P81" s="16" t="str">
        <f aca="true">IF(O81="","",O81-TODAY())</f>
        <v/>
      </c>
      <c r="Q81" s="17" t="str">
        <f aca="false">IF(A81="","",TRIM(IF(E81="","No owner. ","")&amp;IF(F81="","No storage location. ","")&amp;IF(D81="","Serial missing. ","")&amp;IF(OR(H81="",H81="Undecided"),"No disposition. ","")&amp;IF(AND(H81="Ship",J81="",K81=""),"Shipping but no container/vehicle. ","")&amp;IF(AND(J81&lt;&gt;"",K81&lt;&gt;""),"In both a container and a vehicle. ","")&amp;IF(AND(H81="Ship",L81=""),"No destination. ","")&amp;IF(AND(J81&lt;&gt;"",L81&lt;&gt;"",IFERROR(VLOOKUP(J81,Containers!$A$5:$F$60,6,FALSE()),L81)&lt;&gt;L81),"Destination differs from container. ","")&amp;IF(AND(K81&lt;&gt;"",L81&lt;&gt;"",IFERROR(VLOOKUP(K81,Vehicles!$A$5:$F$60,6,FALSE()),L81)&lt;&gt;L81),"Destination differs from vehicle. ","")&amp;IF(AND(H81="Stay",OR(J81&lt;&gt;"",K81&lt;&gt;"",L81&lt;&gt;"")),"Marked Stay but has a container/vehicle/destination. ","")&amp;IF(G81="Missing","Reported missing. ","")&amp;IF(AND(P81&lt;&gt;"",N(P81)&lt;0),"Service overdue. ","")))</f>
        <v/>
      </c>
      <c r="S81" s="17" t="str">
        <f aca="false">IF(A81="","",IF(CHOOSE(MATCH(Find!$C$4,Lists!$K$2:$K$7,0),F81,E81,J81,K81,L81,G81)=Find!$C$5,MAX(S$4:S80)+1,""))</f>
        <v/>
      </c>
      <c r="T81" s="17" t="str">
        <f aca="false">IF(A81="","",IF(OR(J81=Manifest!$C$4,K81=Manifest!$C$4),MAX(T$4:T80)+1,""))</f>
        <v/>
      </c>
    </row>
    <row r="82" customFormat="false" ht="15" hidden="false" customHeight="false" outlineLevel="0" collapsed="false">
      <c r="C82" s="14"/>
      <c r="E82" s="14"/>
      <c r="F82" s="14"/>
      <c r="G82" s="14"/>
      <c r="H82" s="14"/>
      <c r="M82" s="12"/>
      <c r="O82" s="15" t="str">
        <f aca="false">IF(OR(M82="",N82=""),"",M82+N82)</f>
        <v/>
      </c>
      <c r="P82" s="16" t="str">
        <f aca="true">IF(O82="","",O82-TODAY())</f>
        <v/>
      </c>
      <c r="Q82" s="17" t="str">
        <f aca="false">IF(A82="","",TRIM(IF(E82="","No owner. ","")&amp;IF(F82="","No storage location. ","")&amp;IF(D82="","Serial missing. ","")&amp;IF(OR(H82="",H82="Undecided"),"No disposition. ","")&amp;IF(AND(H82="Ship",J82="",K82=""),"Shipping but no container/vehicle. ","")&amp;IF(AND(J82&lt;&gt;"",K82&lt;&gt;""),"In both a container and a vehicle. ","")&amp;IF(AND(H82="Ship",L82=""),"No destination. ","")&amp;IF(AND(J82&lt;&gt;"",L82&lt;&gt;"",IFERROR(VLOOKUP(J82,Containers!$A$5:$F$60,6,FALSE()),L82)&lt;&gt;L82),"Destination differs from container. ","")&amp;IF(AND(K82&lt;&gt;"",L82&lt;&gt;"",IFERROR(VLOOKUP(K82,Vehicles!$A$5:$F$60,6,FALSE()),L82)&lt;&gt;L82),"Destination differs from vehicle. ","")&amp;IF(AND(H82="Stay",OR(J82&lt;&gt;"",K82&lt;&gt;"",L82&lt;&gt;"")),"Marked Stay but has a container/vehicle/destination. ","")&amp;IF(G82="Missing","Reported missing. ","")&amp;IF(AND(P82&lt;&gt;"",N(P82)&lt;0),"Service overdue. ","")))</f>
        <v/>
      </c>
      <c r="S82" s="17" t="str">
        <f aca="false">IF(A82="","",IF(CHOOSE(MATCH(Find!$C$4,Lists!$K$2:$K$7,0),F82,E82,J82,K82,L82,G82)=Find!$C$5,MAX(S$4:S81)+1,""))</f>
        <v/>
      </c>
      <c r="T82" s="17" t="str">
        <f aca="false">IF(A82="","",IF(OR(J82=Manifest!$C$4,K82=Manifest!$C$4),MAX(T$4:T81)+1,""))</f>
        <v/>
      </c>
    </row>
    <row r="83" customFormat="false" ht="15" hidden="false" customHeight="false" outlineLevel="0" collapsed="false">
      <c r="C83" s="14"/>
      <c r="E83" s="14"/>
      <c r="F83" s="14"/>
      <c r="G83" s="14"/>
      <c r="H83" s="14"/>
      <c r="M83" s="12"/>
      <c r="O83" s="15" t="str">
        <f aca="false">IF(OR(M83="",N83=""),"",M83+N83)</f>
        <v/>
      </c>
      <c r="P83" s="16" t="str">
        <f aca="true">IF(O83="","",O83-TODAY())</f>
        <v/>
      </c>
      <c r="Q83" s="17" t="str">
        <f aca="false">IF(A83="","",TRIM(IF(E83="","No owner. ","")&amp;IF(F83="","No storage location. ","")&amp;IF(D83="","Serial missing. ","")&amp;IF(OR(H83="",H83="Undecided"),"No disposition. ","")&amp;IF(AND(H83="Ship",J83="",K83=""),"Shipping but no container/vehicle. ","")&amp;IF(AND(J83&lt;&gt;"",K83&lt;&gt;""),"In both a container and a vehicle. ","")&amp;IF(AND(H83="Ship",L83=""),"No destination. ","")&amp;IF(AND(J83&lt;&gt;"",L83&lt;&gt;"",IFERROR(VLOOKUP(J83,Containers!$A$5:$F$60,6,FALSE()),L83)&lt;&gt;L83),"Destination differs from container. ","")&amp;IF(AND(K83&lt;&gt;"",L83&lt;&gt;"",IFERROR(VLOOKUP(K83,Vehicles!$A$5:$F$60,6,FALSE()),L83)&lt;&gt;L83),"Destination differs from vehicle. ","")&amp;IF(AND(H83="Stay",OR(J83&lt;&gt;"",K83&lt;&gt;"",L83&lt;&gt;"")),"Marked Stay but has a container/vehicle/destination. ","")&amp;IF(G83="Missing","Reported missing. ","")&amp;IF(AND(P83&lt;&gt;"",N(P83)&lt;0),"Service overdue. ","")))</f>
        <v/>
      </c>
      <c r="S83" s="17" t="str">
        <f aca="false">IF(A83="","",IF(CHOOSE(MATCH(Find!$C$4,Lists!$K$2:$K$7,0),F83,E83,J83,K83,L83,G83)=Find!$C$5,MAX(S$4:S82)+1,""))</f>
        <v/>
      </c>
      <c r="T83" s="17" t="str">
        <f aca="false">IF(A83="","",IF(OR(J83=Manifest!$C$4,K83=Manifest!$C$4),MAX(T$4:T82)+1,""))</f>
        <v/>
      </c>
    </row>
    <row r="84" customFormat="false" ht="15" hidden="false" customHeight="false" outlineLevel="0" collapsed="false">
      <c r="C84" s="14"/>
      <c r="E84" s="14"/>
      <c r="F84" s="14"/>
      <c r="G84" s="14"/>
      <c r="H84" s="14"/>
      <c r="M84" s="12"/>
      <c r="O84" s="15" t="str">
        <f aca="false">IF(OR(M84="",N84=""),"",M84+N84)</f>
        <v/>
      </c>
      <c r="P84" s="16" t="str">
        <f aca="true">IF(O84="","",O84-TODAY())</f>
        <v/>
      </c>
      <c r="Q84" s="17" t="str">
        <f aca="false">IF(A84="","",TRIM(IF(E84="","No owner. ","")&amp;IF(F84="","No storage location. ","")&amp;IF(D84="","Serial missing. ","")&amp;IF(OR(H84="",H84="Undecided"),"No disposition. ","")&amp;IF(AND(H84="Ship",J84="",K84=""),"Shipping but no container/vehicle. ","")&amp;IF(AND(J84&lt;&gt;"",K84&lt;&gt;""),"In both a container and a vehicle. ","")&amp;IF(AND(H84="Ship",L84=""),"No destination. ","")&amp;IF(AND(J84&lt;&gt;"",L84&lt;&gt;"",IFERROR(VLOOKUP(J84,Containers!$A$5:$F$60,6,FALSE()),L84)&lt;&gt;L84),"Destination differs from container. ","")&amp;IF(AND(K84&lt;&gt;"",L84&lt;&gt;"",IFERROR(VLOOKUP(K84,Vehicles!$A$5:$F$60,6,FALSE()),L84)&lt;&gt;L84),"Destination differs from vehicle. ","")&amp;IF(AND(H84="Stay",OR(J84&lt;&gt;"",K84&lt;&gt;"",L84&lt;&gt;"")),"Marked Stay but has a container/vehicle/destination. ","")&amp;IF(G84="Missing","Reported missing. ","")&amp;IF(AND(P84&lt;&gt;"",N(P84)&lt;0),"Service overdue. ","")))</f>
        <v/>
      </c>
      <c r="S84" s="17" t="str">
        <f aca="false">IF(A84="","",IF(CHOOSE(MATCH(Find!$C$4,Lists!$K$2:$K$7,0),F84,E84,J84,K84,L84,G84)=Find!$C$5,MAX(S$4:S83)+1,""))</f>
        <v/>
      </c>
      <c r="T84" s="17" t="str">
        <f aca="false">IF(A84="","",IF(OR(J84=Manifest!$C$4,K84=Manifest!$C$4),MAX(T$4:T83)+1,""))</f>
        <v/>
      </c>
    </row>
    <row r="85" customFormat="false" ht="15" hidden="false" customHeight="false" outlineLevel="0" collapsed="false">
      <c r="C85" s="14"/>
      <c r="E85" s="14"/>
      <c r="F85" s="14"/>
      <c r="G85" s="14"/>
      <c r="H85" s="14"/>
      <c r="M85" s="12"/>
      <c r="O85" s="15" t="str">
        <f aca="false">IF(OR(M85="",N85=""),"",M85+N85)</f>
        <v/>
      </c>
      <c r="P85" s="16" t="str">
        <f aca="true">IF(O85="","",O85-TODAY())</f>
        <v/>
      </c>
      <c r="Q85" s="17" t="str">
        <f aca="false">IF(A85="","",TRIM(IF(E85="","No owner. ","")&amp;IF(F85="","No storage location. ","")&amp;IF(D85="","Serial missing. ","")&amp;IF(OR(H85="",H85="Undecided"),"No disposition. ","")&amp;IF(AND(H85="Ship",J85="",K85=""),"Shipping but no container/vehicle. ","")&amp;IF(AND(J85&lt;&gt;"",K85&lt;&gt;""),"In both a container and a vehicle. ","")&amp;IF(AND(H85="Ship",L85=""),"No destination. ","")&amp;IF(AND(J85&lt;&gt;"",L85&lt;&gt;"",IFERROR(VLOOKUP(J85,Containers!$A$5:$F$60,6,FALSE()),L85)&lt;&gt;L85),"Destination differs from container. ","")&amp;IF(AND(K85&lt;&gt;"",L85&lt;&gt;"",IFERROR(VLOOKUP(K85,Vehicles!$A$5:$F$60,6,FALSE()),L85)&lt;&gt;L85),"Destination differs from vehicle. ","")&amp;IF(AND(H85="Stay",OR(J85&lt;&gt;"",K85&lt;&gt;"",L85&lt;&gt;"")),"Marked Stay but has a container/vehicle/destination. ","")&amp;IF(G85="Missing","Reported missing. ","")&amp;IF(AND(P85&lt;&gt;"",N(P85)&lt;0),"Service overdue. ","")))</f>
        <v/>
      </c>
      <c r="S85" s="17" t="str">
        <f aca="false">IF(A85="","",IF(CHOOSE(MATCH(Find!$C$4,Lists!$K$2:$K$7,0),F85,E85,J85,K85,L85,G85)=Find!$C$5,MAX(S$4:S84)+1,""))</f>
        <v/>
      </c>
      <c r="T85" s="17" t="str">
        <f aca="false">IF(A85="","",IF(OR(J85=Manifest!$C$4,K85=Manifest!$C$4),MAX(T$4:T84)+1,""))</f>
        <v/>
      </c>
    </row>
    <row r="86" customFormat="false" ht="15" hidden="false" customHeight="false" outlineLevel="0" collapsed="false">
      <c r="C86" s="14"/>
      <c r="E86" s="14"/>
      <c r="F86" s="14"/>
      <c r="G86" s="14"/>
      <c r="H86" s="14"/>
      <c r="M86" s="12"/>
      <c r="O86" s="15" t="str">
        <f aca="false">IF(OR(M86="",N86=""),"",M86+N86)</f>
        <v/>
      </c>
      <c r="P86" s="16" t="str">
        <f aca="true">IF(O86="","",O86-TODAY())</f>
        <v/>
      </c>
      <c r="Q86" s="17" t="str">
        <f aca="false">IF(A86="","",TRIM(IF(E86="","No owner. ","")&amp;IF(F86="","No storage location. ","")&amp;IF(D86="","Serial missing. ","")&amp;IF(OR(H86="",H86="Undecided"),"No disposition. ","")&amp;IF(AND(H86="Ship",J86="",K86=""),"Shipping but no container/vehicle. ","")&amp;IF(AND(J86&lt;&gt;"",K86&lt;&gt;""),"In both a container and a vehicle. ","")&amp;IF(AND(H86="Ship",L86=""),"No destination. ","")&amp;IF(AND(J86&lt;&gt;"",L86&lt;&gt;"",IFERROR(VLOOKUP(J86,Containers!$A$5:$F$60,6,FALSE()),L86)&lt;&gt;L86),"Destination differs from container. ","")&amp;IF(AND(K86&lt;&gt;"",L86&lt;&gt;"",IFERROR(VLOOKUP(K86,Vehicles!$A$5:$F$60,6,FALSE()),L86)&lt;&gt;L86),"Destination differs from vehicle. ","")&amp;IF(AND(H86="Stay",OR(J86&lt;&gt;"",K86&lt;&gt;"",L86&lt;&gt;"")),"Marked Stay but has a container/vehicle/destination. ","")&amp;IF(G86="Missing","Reported missing. ","")&amp;IF(AND(P86&lt;&gt;"",N(P86)&lt;0),"Service overdue. ","")))</f>
        <v/>
      </c>
      <c r="S86" s="17" t="str">
        <f aca="false">IF(A86="","",IF(CHOOSE(MATCH(Find!$C$4,Lists!$K$2:$K$7,0),F86,E86,J86,K86,L86,G86)=Find!$C$5,MAX(S$4:S85)+1,""))</f>
        <v/>
      </c>
      <c r="T86" s="17" t="str">
        <f aca="false">IF(A86="","",IF(OR(J86=Manifest!$C$4,K86=Manifest!$C$4),MAX(T$4:T85)+1,""))</f>
        <v/>
      </c>
    </row>
    <row r="87" customFormat="false" ht="15" hidden="false" customHeight="false" outlineLevel="0" collapsed="false">
      <c r="C87" s="14"/>
      <c r="E87" s="14"/>
      <c r="F87" s="14"/>
      <c r="G87" s="14"/>
      <c r="H87" s="14"/>
      <c r="M87" s="12"/>
      <c r="O87" s="15" t="str">
        <f aca="false">IF(OR(M87="",N87=""),"",M87+N87)</f>
        <v/>
      </c>
      <c r="P87" s="16" t="str">
        <f aca="true">IF(O87="","",O87-TODAY())</f>
        <v/>
      </c>
      <c r="Q87" s="17" t="str">
        <f aca="false">IF(A87="","",TRIM(IF(E87="","No owner. ","")&amp;IF(F87="","No storage location. ","")&amp;IF(D87="","Serial missing. ","")&amp;IF(OR(H87="",H87="Undecided"),"No disposition. ","")&amp;IF(AND(H87="Ship",J87="",K87=""),"Shipping but no container/vehicle. ","")&amp;IF(AND(J87&lt;&gt;"",K87&lt;&gt;""),"In both a container and a vehicle. ","")&amp;IF(AND(H87="Ship",L87=""),"No destination. ","")&amp;IF(AND(J87&lt;&gt;"",L87&lt;&gt;"",IFERROR(VLOOKUP(J87,Containers!$A$5:$F$60,6,FALSE()),L87)&lt;&gt;L87),"Destination differs from container. ","")&amp;IF(AND(K87&lt;&gt;"",L87&lt;&gt;"",IFERROR(VLOOKUP(K87,Vehicles!$A$5:$F$60,6,FALSE()),L87)&lt;&gt;L87),"Destination differs from vehicle. ","")&amp;IF(AND(H87="Stay",OR(J87&lt;&gt;"",K87&lt;&gt;"",L87&lt;&gt;"")),"Marked Stay but has a container/vehicle/destination. ","")&amp;IF(G87="Missing","Reported missing. ","")&amp;IF(AND(P87&lt;&gt;"",N(P87)&lt;0),"Service overdue. ","")))</f>
        <v/>
      </c>
      <c r="S87" s="17" t="str">
        <f aca="false">IF(A87="","",IF(CHOOSE(MATCH(Find!$C$4,Lists!$K$2:$K$7,0),F87,E87,J87,K87,L87,G87)=Find!$C$5,MAX(S$4:S86)+1,""))</f>
        <v/>
      </c>
      <c r="T87" s="17" t="str">
        <f aca="false">IF(A87="","",IF(OR(J87=Manifest!$C$4,K87=Manifest!$C$4),MAX(T$4:T86)+1,""))</f>
        <v/>
      </c>
    </row>
    <row r="88" customFormat="false" ht="15" hidden="false" customHeight="false" outlineLevel="0" collapsed="false">
      <c r="C88" s="14"/>
      <c r="E88" s="14"/>
      <c r="F88" s="14"/>
      <c r="G88" s="14"/>
      <c r="H88" s="14"/>
      <c r="M88" s="12"/>
      <c r="O88" s="15" t="str">
        <f aca="false">IF(OR(M88="",N88=""),"",M88+N88)</f>
        <v/>
      </c>
      <c r="P88" s="16" t="str">
        <f aca="true">IF(O88="","",O88-TODAY())</f>
        <v/>
      </c>
      <c r="Q88" s="17" t="str">
        <f aca="false">IF(A88="","",TRIM(IF(E88="","No owner. ","")&amp;IF(F88="","No storage location. ","")&amp;IF(D88="","Serial missing. ","")&amp;IF(OR(H88="",H88="Undecided"),"No disposition. ","")&amp;IF(AND(H88="Ship",J88="",K88=""),"Shipping but no container/vehicle. ","")&amp;IF(AND(J88&lt;&gt;"",K88&lt;&gt;""),"In both a container and a vehicle. ","")&amp;IF(AND(H88="Ship",L88=""),"No destination. ","")&amp;IF(AND(J88&lt;&gt;"",L88&lt;&gt;"",IFERROR(VLOOKUP(J88,Containers!$A$5:$F$60,6,FALSE()),L88)&lt;&gt;L88),"Destination differs from container. ","")&amp;IF(AND(K88&lt;&gt;"",L88&lt;&gt;"",IFERROR(VLOOKUP(K88,Vehicles!$A$5:$F$60,6,FALSE()),L88)&lt;&gt;L88),"Destination differs from vehicle. ","")&amp;IF(AND(H88="Stay",OR(J88&lt;&gt;"",K88&lt;&gt;"",L88&lt;&gt;"")),"Marked Stay but has a container/vehicle/destination. ","")&amp;IF(G88="Missing","Reported missing. ","")&amp;IF(AND(P88&lt;&gt;"",N(P88)&lt;0),"Service overdue. ","")))</f>
        <v/>
      </c>
      <c r="S88" s="17" t="str">
        <f aca="false">IF(A88="","",IF(CHOOSE(MATCH(Find!$C$4,Lists!$K$2:$K$7,0),F88,E88,J88,K88,L88,G88)=Find!$C$5,MAX(S$4:S87)+1,""))</f>
        <v/>
      </c>
      <c r="T88" s="17" t="str">
        <f aca="false">IF(A88="","",IF(OR(J88=Manifest!$C$4,K88=Manifest!$C$4),MAX(T$4:T87)+1,""))</f>
        <v/>
      </c>
    </row>
    <row r="89" customFormat="false" ht="15" hidden="false" customHeight="false" outlineLevel="0" collapsed="false">
      <c r="C89" s="14"/>
      <c r="E89" s="14"/>
      <c r="F89" s="14"/>
      <c r="G89" s="14"/>
      <c r="H89" s="14"/>
      <c r="M89" s="12"/>
      <c r="O89" s="15" t="str">
        <f aca="false">IF(OR(M89="",N89=""),"",M89+N89)</f>
        <v/>
      </c>
      <c r="P89" s="16" t="str">
        <f aca="true">IF(O89="","",O89-TODAY())</f>
        <v/>
      </c>
      <c r="Q89" s="17" t="str">
        <f aca="false">IF(A89="","",TRIM(IF(E89="","No owner. ","")&amp;IF(F89="","No storage location. ","")&amp;IF(D89="","Serial missing. ","")&amp;IF(OR(H89="",H89="Undecided"),"No disposition. ","")&amp;IF(AND(H89="Ship",J89="",K89=""),"Shipping but no container/vehicle. ","")&amp;IF(AND(J89&lt;&gt;"",K89&lt;&gt;""),"In both a container and a vehicle. ","")&amp;IF(AND(H89="Ship",L89=""),"No destination. ","")&amp;IF(AND(J89&lt;&gt;"",L89&lt;&gt;"",IFERROR(VLOOKUP(J89,Containers!$A$5:$F$60,6,FALSE()),L89)&lt;&gt;L89),"Destination differs from container. ","")&amp;IF(AND(K89&lt;&gt;"",L89&lt;&gt;"",IFERROR(VLOOKUP(K89,Vehicles!$A$5:$F$60,6,FALSE()),L89)&lt;&gt;L89),"Destination differs from vehicle. ","")&amp;IF(AND(H89="Stay",OR(J89&lt;&gt;"",K89&lt;&gt;"",L89&lt;&gt;"")),"Marked Stay but has a container/vehicle/destination. ","")&amp;IF(G89="Missing","Reported missing. ","")&amp;IF(AND(P89&lt;&gt;"",N(P89)&lt;0),"Service overdue. ","")))</f>
        <v/>
      </c>
      <c r="S89" s="17" t="str">
        <f aca="false">IF(A89="","",IF(CHOOSE(MATCH(Find!$C$4,Lists!$K$2:$K$7,0),F89,E89,J89,K89,L89,G89)=Find!$C$5,MAX(S$4:S88)+1,""))</f>
        <v/>
      </c>
      <c r="T89" s="17" t="str">
        <f aca="false">IF(A89="","",IF(OR(J89=Manifest!$C$4,K89=Manifest!$C$4),MAX(T$4:T88)+1,""))</f>
        <v/>
      </c>
    </row>
    <row r="90" customFormat="false" ht="15" hidden="false" customHeight="false" outlineLevel="0" collapsed="false">
      <c r="C90" s="14"/>
      <c r="E90" s="14"/>
      <c r="F90" s="14"/>
      <c r="G90" s="14"/>
      <c r="H90" s="14"/>
      <c r="M90" s="12"/>
      <c r="O90" s="15" t="str">
        <f aca="false">IF(OR(M90="",N90=""),"",M90+N90)</f>
        <v/>
      </c>
      <c r="P90" s="16" t="str">
        <f aca="true">IF(O90="","",O90-TODAY())</f>
        <v/>
      </c>
      <c r="Q90" s="17" t="str">
        <f aca="false">IF(A90="","",TRIM(IF(E90="","No owner. ","")&amp;IF(F90="","No storage location. ","")&amp;IF(D90="","Serial missing. ","")&amp;IF(OR(H90="",H90="Undecided"),"No disposition. ","")&amp;IF(AND(H90="Ship",J90="",K90=""),"Shipping but no container/vehicle. ","")&amp;IF(AND(J90&lt;&gt;"",K90&lt;&gt;""),"In both a container and a vehicle. ","")&amp;IF(AND(H90="Ship",L90=""),"No destination. ","")&amp;IF(AND(J90&lt;&gt;"",L90&lt;&gt;"",IFERROR(VLOOKUP(J90,Containers!$A$5:$F$60,6,FALSE()),L90)&lt;&gt;L90),"Destination differs from container. ","")&amp;IF(AND(K90&lt;&gt;"",L90&lt;&gt;"",IFERROR(VLOOKUP(K90,Vehicles!$A$5:$F$60,6,FALSE()),L90)&lt;&gt;L90),"Destination differs from vehicle. ","")&amp;IF(AND(H90="Stay",OR(J90&lt;&gt;"",K90&lt;&gt;"",L90&lt;&gt;"")),"Marked Stay but has a container/vehicle/destination. ","")&amp;IF(G90="Missing","Reported missing. ","")&amp;IF(AND(P90&lt;&gt;"",N(P90)&lt;0),"Service overdue. ","")))</f>
        <v/>
      </c>
      <c r="S90" s="17" t="str">
        <f aca="false">IF(A90="","",IF(CHOOSE(MATCH(Find!$C$4,Lists!$K$2:$K$7,0),F90,E90,J90,K90,L90,G90)=Find!$C$5,MAX(S$4:S89)+1,""))</f>
        <v/>
      </c>
      <c r="T90" s="17" t="str">
        <f aca="false">IF(A90="","",IF(OR(J90=Manifest!$C$4,K90=Manifest!$C$4),MAX(T$4:T89)+1,""))</f>
        <v/>
      </c>
    </row>
    <row r="91" customFormat="false" ht="15" hidden="false" customHeight="false" outlineLevel="0" collapsed="false">
      <c r="C91" s="14"/>
      <c r="E91" s="14"/>
      <c r="F91" s="14"/>
      <c r="G91" s="14"/>
      <c r="H91" s="14"/>
      <c r="M91" s="12"/>
      <c r="O91" s="15" t="str">
        <f aca="false">IF(OR(M91="",N91=""),"",M91+N91)</f>
        <v/>
      </c>
      <c r="P91" s="16" t="str">
        <f aca="true">IF(O91="","",O91-TODAY())</f>
        <v/>
      </c>
      <c r="Q91" s="17" t="str">
        <f aca="false">IF(A91="","",TRIM(IF(E91="","No owner. ","")&amp;IF(F91="","No storage location. ","")&amp;IF(D91="","Serial missing. ","")&amp;IF(OR(H91="",H91="Undecided"),"No disposition. ","")&amp;IF(AND(H91="Ship",J91="",K91=""),"Shipping but no container/vehicle. ","")&amp;IF(AND(J91&lt;&gt;"",K91&lt;&gt;""),"In both a container and a vehicle. ","")&amp;IF(AND(H91="Ship",L91=""),"No destination. ","")&amp;IF(AND(J91&lt;&gt;"",L91&lt;&gt;"",IFERROR(VLOOKUP(J91,Containers!$A$5:$F$60,6,FALSE()),L91)&lt;&gt;L91),"Destination differs from container. ","")&amp;IF(AND(K91&lt;&gt;"",L91&lt;&gt;"",IFERROR(VLOOKUP(K91,Vehicles!$A$5:$F$60,6,FALSE()),L91)&lt;&gt;L91),"Destination differs from vehicle. ","")&amp;IF(AND(H91="Stay",OR(J91&lt;&gt;"",K91&lt;&gt;"",L91&lt;&gt;"")),"Marked Stay but has a container/vehicle/destination. ","")&amp;IF(G91="Missing","Reported missing. ","")&amp;IF(AND(P91&lt;&gt;"",N(P91)&lt;0),"Service overdue. ","")))</f>
        <v/>
      </c>
      <c r="S91" s="17" t="str">
        <f aca="false">IF(A91="","",IF(CHOOSE(MATCH(Find!$C$4,Lists!$K$2:$K$7,0),F91,E91,J91,K91,L91,G91)=Find!$C$5,MAX(S$4:S90)+1,""))</f>
        <v/>
      </c>
      <c r="T91" s="17" t="str">
        <f aca="false">IF(A91="","",IF(OR(J91=Manifest!$C$4,K91=Manifest!$C$4),MAX(T$4:T90)+1,""))</f>
        <v/>
      </c>
    </row>
    <row r="92" customFormat="false" ht="15" hidden="false" customHeight="false" outlineLevel="0" collapsed="false">
      <c r="C92" s="14"/>
      <c r="E92" s="14"/>
      <c r="F92" s="14"/>
      <c r="G92" s="14"/>
      <c r="H92" s="14"/>
      <c r="M92" s="12"/>
      <c r="O92" s="15" t="str">
        <f aca="false">IF(OR(M92="",N92=""),"",M92+N92)</f>
        <v/>
      </c>
      <c r="P92" s="16" t="str">
        <f aca="true">IF(O92="","",O92-TODAY())</f>
        <v/>
      </c>
      <c r="Q92" s="17" t="str">
        <f aca="false">IF(A92="","",TRIM(IF(E92="","No owner. ","")&amp;IF(F92="","No storage location. ","")&amp;IF(D92="","Serial missing. ","")&amp;IF(OR(H92="",H92="Undecided"),"No disposition. ","")&amp;IF(AND(H92="Ship",J92="",K92=""),"Shipping but no container/vehicle. ","")&amp;IF(AND(J92&lt;&gt;"",K92&lt;&gt;""),"In both a container and a vehicle. ","")&amp;IF(AND(H92="Ship",L92=""),"No destination. ","")&amp;IF(AND(J92&lt;&gt;"",L92&lt;&gt;"",IFERROR(VLOOKUP(J92,Containers!$A$5:$F$60,6,FALSE()),L92)&lt;&gt;L92),"Destination differs from container. ","")&amp;IF(AND(K92&lt;&gt;"",L92&lt;&gt;"",IFERROR(VLOOKUP(K92,Vehicles!$A$5:$F$60,6,FALSE()),L92)&lt;&gt;L92),"Destination differs from vehicle. ","")&amp;IF(AND(H92="Stay",OR(J92&lt;&gt;"",K92&lt;&gt;"",L92&lt;&gt;"")),"Marked Stay but has a container/vehicle/destination. ","")&amp;IF(G92="Missing","Reported missing. ","")&amp;IF(AND(P92&lt;&gt;"",N(P92)&lt;0),"Service overdue. ","")))</f>
        <v/>
      </c>
      <c r="S92" s="17" t="str">
        <f aca="false">IF(A92="","",IF(CHOOSE(MATCH(Find!$C$4,Lists!$K$2:$K$7,0),F92,E92,J92,K92,L92,G92)=Find!$C$5,MAX(S$4:S91)+1,""))</f>
        <v/>
      </c>
      <c r="T92" s="17" t="str">
        <f aca="false">IF(A92="","",IF(OR(J92=Manifest!$C$4,K92=Manifest!$C$4),MAX(T$4:T91)+1,""))</f>
        <v/>
      </c>
    </row>
    <row r="93" customFormat="false" ht="15" hidden="false" customHeight="false" outlineLevel="0" collapsed="false">
      <c r="C93" s="14"/>
      <c r="E93" s="14"/>
      <c r="F93" s="14"/>
      <c r="G93" s="14"/>
      <c r="H93" s="14"/>
      <c r="M93" s="12"/>
      <c r="O93" s="15" t="str">
        <f aca="false">IF(OR(M93="",N93=""),"",M93+N93)</f>
        <v/>
      </c>
      <c r="P93" s="16" t="str">
        <f aca="true">IF(O93="","",O93-TODAY())</f>
        <v/>
      </c>
      <c r="Q93" s="17" t="str">
        <f aca="false">IF(A93="","",TRIM(IF(E93="","No owner. ","")&amp;IF(F93="","No storage location. ","")&amp;IF(D93="","Serial missing. ","")&amp;IF(OR(H93="",H93="Undecided"),"No disposition. ","")&amp;IF(AND(H93="Ship",J93="",K93=""),"Shipping but no container/vehicle. ","")&amp;IF(AND(J93&lt;&gt;"",K93&lt;&gt;""),"In both a container and a vehicle. ","")&amp;IF(AND(H93="Ship",L93=""),"No destination. ","")&amp;IF(AND(J93&lt;&gt;"",L93&lt;&gt;"",IFERROR(VLOOKUP(J93,Containers!$A$5:$F$60,6,FALSE()),L93)&lt;&gt;L93),"Destination differs from container. ","")&amp;IF(AND(K93&lt;&gt;"",L93&lt;&gt;"",IFERROR(VLOOKUP(K93,Vehicles!$A$5:$F$60,6,FALSE()),L93)&lt;&gt;L93),"Destination differs from vehicle. ","")&amp;IF(AND(H93="Stay",OR(J93&lt;&gt;"",K93&lt;&gt;"",L93&lt;&gt;"")),"Marked Stay but has a container/vehicle/destination. ","")&amp;IF(G93="Missing","Reported missing. ","")&amp;IF(AND(P93&lt;&gt;"",N(P93)&lt;0),"Service overdue. ","")))</f>
        <v/>
      </c>
      <c r="S93" s="17" t="str">
        <f aca="false">IF(A93="","",IF(CHOOSE(MATCH(Find!$C$4,Lists!$K$2:$K$7,0),F93,E93,J93,K93,L93,G93)=Find!$C$5,MAX(S$4:S92)+1,""))</f>
        <v/>
      </c>
      <c r="T93" s="17" t="str">
        <f aca="false">IF(A93="","",IF(OR(J93=Manifest!$C$4,K93=Manifest!$C$4),MAX(T$4:T92)+1,""))</f>
        <v/>
      </c>
    </row>
    <row r="94" customFormat="false" ht="15" hidden="false" customHeight="false" outlineLevel="0" collapsed="false">
      <c r="C94" s="14"/>
      <c r="E94" s="14"/>
      <c r="F94" s="14"/>
      <c r="G94" s="14"/>
      <c r="H94" s="14"/>
      <c r="M94" s="12"/>
      <c r="O94" s="15" t="str">
        <f aca="false">IF(OR(M94="",N94=""),"",M94+N94)</f>
        <v/>
      </c>
      <c r="P94" s="16" t="str">
        <f aca="true">IF(O94="","",O94-TODAY())</f>
        <v/>
      </c>
      <c r="Q94" s="17" t="str">
        <f aca="false">IF(A94="","",TRIM(IF(E94="","No owner. ","")&amp;IF(F94="","No storage location. ","")&amp;IF(D94="","Serial missing. ","")&amp;IF(OR(H94="",H94="Undecided"),"No disposition. ","")&amp;IF(AND(H94="Ship",J94="",K94=""),"Shipping but no container/vehicle. ","")&amp;IF(AND(J94&lt;&gt;"",K94&lt;&gt;""),"In both a container and a vehicle. ","")&amp;IF(AND(H94="Ship",L94=""),"No destination. ","")&amp;IF(AND(J94&lt;&gt;"",L94&lt;&gt;"",IFERROR(VLOOKUP(J94,Containers!$A$5:$F$60,6,FALSE()),L94)&lt;&gt;L94),"Destination differs from container. ","")&amp;IF(AND(K94&lt;&gt;"",L94&lt;&gt;"",IFERROR(VLOOKUP(K94,Vehicles!$A$5:$F$60,6,FALSE()),L94)&lt;&gt;L94),"Destination differs from vehicle. ","")&amp;IF(AND(H94="Stay",OR(J94&lt;&gt;"",K94&lt;&gt;"",L94&lt;&gt;"")),"Marked Stay but has a container/vehicle/destination. ","")&amp;IF(G94="Missing","Reported missing. ","")&amp;IF(AND(P94&lt;&gt;"",N(P94)&lt;0),"Service overdue. ","")))</f>
        <v/>
      </c>
      <c r="S94" s="17" t="str">
        <f aca="false">IF(A94="","",IF(CHOOSE(MATCH(Find!$C$4,Lists!$K$2:$K$7,0),F94,E94,J94,K94,L94,G94)=Find!$C$5,MAX(S$4:S93)+1,""))</f>
        <v/>
      </c>
      <c r="T94" s="17" t="str">
        <f aca="false">IF(A94="","",IF(OR(J94=Manifest!$C$4,K94=Manifest!$C$4),MAX(T$4:T93)+1,""))</f>
        <v/>
      </c>
    </row>
    <row r="95" customFormat="false" ht="15" hidden="false" customHeight="false" outlineLevel="0" collapsed="false">
      <c r="C95" s="14"/>
      <c r="E95" s="14"/>
      <c r="F95" s="14"/>
      <c r="G95" s="14"/>
      <c r="H95" s="14"/>
      <c r="M95" s="12"/>
      <c r="O95" s="15" t="str">
        <f aca="false">IF(OR(M95="",N95=""),"",M95+N95)</f>
        <v/>
      </c>
      <c r="P95" s="16" t="str">
        <f aca="true">IF(O95="","",O95-TODAY())</f>
        <v/>
      </c>
      <c r="Q95" s="17" t="str">
        <f aca="false">IF(A95="","",TRIM(IF(E95="","No owner. ","")&amp;IF(F95="","No storage location. ","")&amp;IF(D95="","Serial missing. ","")&amp;IF(OR(H95="",H95="Undecided"),"No disposition. ","")&amp;IF(AND(H95="Ship",J95="",K95=""),"Shipping but no container/vehicle. ","")&amp;IF(AND(J95&lt;&gt;"",K95&lt;&gt;""),"In both a container and a vehicle. ","")&amp;IF(AND(H95="Ship",L95=""),"No destination. ","")&amp;IF(AND(J95&lt;&gt;"",L95&lt;&gt;"",IFERROR(VLOOKUP(J95,Containers!$A$5:$F$60,6,FALSE()),L95)&lt;&gt;L95),"Destination differs from container. ","")&amp;IF(AND(K95&lt;&gt;"",L95&lt;&gt;"",IFERROR(VLOOKUP(K95,Vehicles!$A$5:$F$60,6,FALSE()),L95)&lt;&gt;L95),"Destination differs from vehicle. ","")&amp;IF(AND(H95="Stay",OR(J95&lt;&gt;"",K95&lt;&gt;"",L95&lt;&gt;"")),"Marked Stay but has a container/vehicle/destination. ","")&amp;IF(G95="Missing","Reported missing. ","")&amp;IF(AND(P95&lt;&gt;"",N(P95)&lt;0),"Service overdue. ","")))</f>
        <v/>
      </c>
      <c r="S95" s="17" t="str">
        <f aca="false">IF(A95="","",IF(CHOOSE(MATCH(Find!$C$4,Lists!$K$2:$K$7,0),F95,E95,J95,K95,L95,G95)=Find!$C$5,MAX(S$4:S94)+1,""))</f>
        <v/>
      </c>
      <c r="T95" s="17" t="str">
        <f aca="false">IF(A95="","",IF(OR(J95=Manifest!$C$4,K95=Manifest!$C$4),MAX(T$4:T94)+1,""))</f>
        <v/>
      </c>
    </row>
    <row r="96" customFormat="false" ht="15" hidden="false" customHeight="false" outlineLevel="0" collapsed="false">
      <c r="C96" s="14"/>
      <c r="E96" s="14"/>
      <c r="F96" s="14"/>
      <c r="G96" s="14"/>
      <c r="H96" s="14"/>
      <c r="M96" s="12"/>
      <c r="O96" s="15" t="str">
        <f aca="false">IF(OR(M96="",N96=""),"",M96+N96)</f>
        <v/>
      </c>
      <c r="P96" s="16" t="str">
        <f aca="true">IF(O96="","",O96-TODAY())</f>
        <v/>
      </c>
      <c r="Q96" s="17" t="str">
        <f aca="false">IF(A96="","",TRIM(IF(E96="","No owner. ","")&amp;IF(F96="","No storage location. ","")&amp;IF(D96="","Serial missing. ","")&amp;IF(OR(H96="",H96="Undecided"),"No disposition. ","")&amp;IF(AND(H96="Ship",J96="",K96=""),"Shipping but no container/vehicle. ","")&amp;IF(AND(J96&lt;&gt;"",K96&lt;&gt;""),"In both a container and a vehicle. ","")&amp;IF(AND(H96="Ship",L96=""),"No destination. ","")&amp;IF(AND(J96&lt;&gt;"",L96&lt;&gt;"",IFERROR(VLOOKUP(J96,Containers!$A$5:$F$60,6,FALSE()),L96)&lt;&gt;L96),"Destination differs from container. ","")&amp;IF(AND(K96&lt;&gt;"",L96&lt;&gt;"",IFERROR(VLOOKUP(K96,Vehicles!$A$5:$F$60,6,FALSE()),L96)&lt;&gt;L96),"Destination differs from vehicle. ","")&amp;IF(AND(H96="Stay",OR(J96&lt;&gt;"",K96&lt;&gt;"",L96&lt;&gt;"")),"Marked Stay but has a container/vehicle/destination. ","")&amp;IF(G96="Missing","Reported missing. ","")&amp;IF(AND(P96&lt;&gt;"",N(P96)&lt;0),"Service overdue. ","")))</f>
        <v/>
      </c>
      <c r="S96" s="17" t="str">
        <f aca="false">IF(A96="","",IF(CHOOSE(MATCH(Find!$C$4,Lists!$K$2:$K$7,0),F96,E96,J96,K96,L96,G96)=Find!$C$5,MAX(S$4:S95)+1,""))</f>
        <v/>
      </c>
      <c r="T96" s="17" t="str">
        <f aca="false">IF(A96="","",IF(OR(J96=Manifest!$C$4,K96=Manifest!$C$4),MAX(T$4:T95)+1,""))</f>
        <v/>
      </c>
    </row>
    <row r="97" customFormat="false" ht="15" hidden="false" customHeight="false" outlineLevel="0" collapsed="false">
      <c r="C97" s="14"/>
      <c r="E97" s="14"/>
      <c r="F97" s="14"/>
      <c r="G97" s="14"/>
      <c r="H97" s="14"/>
      <c r="M97" s="12"/>
      <c r="O97" s="15" t="str">
        <f aca="false">IF(OR(M97="",N97=""),"",M97+N97)</f>
        <v/>
      </c>
      <c r="P97" s="16" t="str">
        <f aca="true">IF(O97="","",O97-TODAY())</f>
        <v/>
      </c>
      <c r="Q97" s="17" t="str">
        <f aca="false">IF(A97="","",TRIM(IF(E97="","No owner. ","")&amp;IF(F97="","No storage location. ","")&amp;IF(D97="","Serial missing. ","")&amp;IF(OR(H97="",H97="Undecided"),"No disposition. ","")&amp;IF(AND(H97="Ship",J97="",K97=""),"Shipping but no container/vehicle. ","")&amp;IF(AND(J97&lt;&gt;"",K97&lt;&gt;""),"In both a container and a vehicle. ","")&amp;IF(AND(H97="Ship",L97=""),"No destination. ","")&amp;IF(AND(J97&lt;&gt;"",L97&lt;&gt;"",IFERROR(VLOOKUP(J97,Containers!$A$5:$F$60,6,FALSE()),L97)&lt;&gt;L97),"Destination differs from container. ","")&amp;IF(AND(K97&lt;&gt;"",L97&lt;&gt;"",IFERROR(VLOOKUP(K97,Vehicles!$A$5:$F$60,6,FALSE()),L97)&lt;&gt;L97),"Destination differs from vehicle. ","")&amp;IF(AND(H97="Stay",OR(J97&lt;&gt;"",K97&lt;&gt;"",L97&lt;&gt;"")),"Marked Stay but has a container/vehicle/destination. ","")&amp;IF(G97="Missing","Reported missing. ","")&amp;IF(AND(P97&lt;&gt;"",N(P97)&lt;0),"Service overdue. ","")))</f>
        <v/>
      </c>
      <c r="S97" s="17" t="str">
        <f aca="false">IF(A97="","",IF(CHOOSE(MATCH(Find!$C$4,Lists!$K$2:$K$7,0),F97,E97,J97,K97,L97,G97)=Find!$C$5,MAX(S$4:S96)+1,""))</f>
        <v/>
      </c>
      <c r="T97" s="17" t="str">
        <f aca="false">IF(A97="","",IF(OR(J97=Manifest!$C$4,K97=Manifest!$C$4),MAX(T$4:T96)+1,""))</f>
        <v/>
      </c>
    </row>
    <row r="98" customFormat="false" ht="15" hidden="false" customHeight="false" outlineLevel="0" collapsed="false">
      <c r="C98" s="14"/>
      <c r="E98" s="14"/>
      <c r="F98" s="14"/>
      <c r="G98" s="14"/>
      <c r="H98" s="14"/>
      <c r="M98" s="12"/>
      <c r="O98" s="15" t="str">
        <f aca="false">IF(OR(M98="",N98=""),"",M98+N98)</f>
        <v/>
      </c>
      <c r="P98" s="16" t="str">
        <f aca="true">IF(O98="","",O98-TODAY())</f>
        <v/>
      </c>
      <c r="Q98" s="17" t="str">
        <f aca="false">IF(A98="","",TRIM(IF(E98="","No owner. ","")&amp;IF(F98="","No storage location. ","")&amp;IF(D98="","Serial missing. ","")&amp;IF(OR(H98="",H98="Undecided"),"No disposition. ","")&amp;IF(AND(H98="Ship",J98="",K98=""),"Shipping but no container/vehicle. ","")&amp;IF(AND(J98&lt;&gt;"",K98&lt;&gt;""),"In both a container and a vehicle. ","")&amp;IF(AND(H98="Ship",L98=""),"No destination. ","")&amp;IF(AND(J98&lt;&gt;"",L98&lt;&gt;"",IFERROR(VLOOKUP(J98,Containers!$A$5:$F$60,6,FALSE()),L98)&lt;&gt;L98),"Destination differs from container. ","")&amp;IF(AND(K98&lt;&gt;"",L98&lt;&gt;"",IFERROR(VLOOKUP(K98,Vehicles!$A$5:$F$60,6,FALSE()),L98)&lt;&gt;L98),"Destination differs from vehicle. ","")&amp;IF(AND(H98="Stay",OR(J98&lt;&gt;"",K98&lt;&gt;"",L98&lt;&gt;"")),"Marked Stay but has a container/vehicle/destination. ","")&amp;IF(G98="Missing","Reported missing. ","")&amp;IF(AND(P98&lt;&gt;"",N(P98)&lt;0),"Service overdue. ","")))</f>
        <v/>
      </c>
      <c r="S98" s="17" t="str">
        <f aca="false">IF(A98="","",IF(CHOOSE(MATCH(Find!$C$4,Lists!$K$2:$K$7,0),F98,E98,J98,K98,L98,G98)=Find!$C$5,MAX(S$4:S97)+1,""))</f>
        <v/>
      </c>
      <c r="T98" s="17" t="str">
        <f aca="false">IF(A98="","",IF(OR(J98=Manifest!$C$4,K98=Manifest!$C$4),MAX(T$4:T97)+1,""))</f>
        <v/>
      </c>
    </row>
    <row r="99" customFormat="false" ht="15" hidden="false" customHeight="false" outlineLevel="0" collapsed="false">
      <c r="C99" s="14"/>
      <c r="E99" s="14"/>
      <c r="F99" s="14"/>
      <c r="G99" s="14"/>
      <c r="H99" s="14"/>
      <c r="M99" s="12"/>
      <c r="O99" s="15" t="str">
        <f aca="false">IF(OR(M99="",N99=""),"",M99+N99)</f>
        <v/>
      </c>
      <c r="P99" s="16" t="str">
        <f aca="true">IF(O99="","",O99-TODAY())</f>
        <v/>
      </c>
      <c r="Q99" s="17" t="str">
        <f aca="false">IF(A99="","",TRIM(IF(E99="","No owner. ","")&amp;IF(F99="","No storage location. ","")&amp;IF(D99="","Serial missing. ","")&amp;IF(OR(H99="",H99="Undecided"),"No disposition. ","")&amp;IF(AND(H99="Ship",J99="",K99=""),"Shipping but no container/vehicle. ","")&amp;IF(AND(J99&lt;&gt;"",K99&lt;&gt;""),"In both a container and a vehicle. ","")&amp;IF(AND(H99="Ship",L99=""),"No destination. ","")&amp;IF(AND(J99&lt;&gt;"",L99&lt;&gt;"",IFERROR(VLOOKUP(J99,Containers!$A$5:$F$60,6,FALSE()),L99)&lt;&gt;L99),"Destination differs from container. ","")&amp;IF(AND(K99&lt;&gt;"",L99&lt;&gt;"",IFERROR(VLOOKUP(K99,Vehicles!$A$5:$F$60,6,FALSE()),L99)&lt;&gt;L99),"Destination differs from vehicle. ","")&amp;IF(AND(H99="Stay",OR(J99&lt;&gt;"",K99&lt;&gt;"",L99&lt;&gt;"")),"Marked Stay but has a container/vehicle/destination. ","")&amp;IF(G99="Missing","Reported missing. ","")&amp;IF(AND(P99&lt;&gt;"",N(P99)&lt;0),"Service overdue. ","")))</f>
        <v/>
      </c>
      <c r="S99" s="17" t="str">
        <f aca="false">IF(A99="","",IF(CHOOSE(MATCH(Find!$C$4,Lists!$K$2:$K$7,0),F99,E99,J99,K99,L99,G99)=Find!$C$5,MAX(S$4:S98)+1,""))</f>
        <v/>
      </c>
      <c r="T99" s="17" t="str">
        <f aca="false">IF(A99="","",IF(OR(J99=Manifest!$C$4,K99=Manifest!$C$4),MAX(T$4:T98)+1,""))</f>
        <v/>
      </c>
    </row>
    <row r="100" customFormat="false" ht="15" hidden="false" customHeight="false" outlineLevel="0" collapsed="false">
      <c r="C100" s="14"/>
      <c r="E100" s="14"/>
      <c r="F100" s="14"/>
      <c r="G100" s="14"/>
      <c r="H100" s="14"/>
      <c r="M100" s="12"/>
      <c r="O100" s="15" t="str">
        <f aca="false">IF(OR(M100="",N100=""),"",M100+N100)</f>
        <v/>
      </c>
      <c r="P100" s="16" t="str">
        <f aca="true">IF(O100="","",O100-TODAY())</f>
        <v/>
      </c>
      <c r="Q100" s="17" t="str">
        <f aca="false">IF(A100="","",TRIM(IF(E100="","No owner. ","")&amp;IF(F100="","No storage location. ","")&amp;IF(D100="","Serial missing. ","")&amp;IF(OR(H100="",H100="Undecided"),"No disposition. ","")&amp;IF(AND(H100="Ship",J100="",K100=""),"Shipping but no container/vehicle. ","")&amp;IF(AND(J100&lt;&gt;"",K100&lt;&gt;""),"In both a container and a vehicle. ","")&amp;IF(AND(H100="Ship",L100=""),"No destination. ","")&amp;IF(AND(J100&lt;&gt;"",L100&lt;&gt;"",IFERROR(VLOOKUP(J100,Containers!$A$5:$F$60,6,FALSE()),L100)&lt;&gt;L100),"Destination differs from container. ","")&amp;IF(AND(K100&lt;&gt;"",L100&lt;&gt;"",IFERROR(VLOOKUP(K100,Vehicles!$A$5:$F$60,6,FALSE()),L100)&lt;&gt;L100),"Destination differs from vehicle. ","")&amp;IF(AND(H100="Stay",OR(J100&lt;&gt;"",K100&lt;&gt;"",L100&lt;&gt;"")),"Marked Stay but has a container/vehicle/destination. ","")&amp;IF(G100="Missing","Reported missing. ","")&amp;IF(AND(P100&lt;&gt;"",N(P100)&lt;0),"Service overdue. ","")))</f>
        <v/>
      </c>
      <c r="S100" s="17" t="str">
        <f aca="false">IF(A100="","",IF(CHOOSE(MATCH(Find!$C$4,Lists!$K$2:$K$7,0),F100,E100,J100,K100,L100,G100)=Find!$C$5,MAX(S$4:S99)+1,""))</f>
        <v/>
      </c>
      <c r="T100" s="17" t="str">
        <f aca="false">IF(A100="","",IF(OR(J100=Manifest!$C$4,K100=Manifest!$C$4),MAX(T$4:T99)+1,""))</f>
        <v/>
      </c>
    </row>
    <row r="101" customFormat="false" ht="15" hidden="false" customHeight="false" outlineLevel="0" collapsed="false">
      <c r="C101" s="14"/>
      <c r="E101" s="14"/>
      <c r="F101" s="14"/>
      <c r="G101" s="14"/>
      <c r="H101" s="14"/>
      <c r="M101" s="12"/>
      <c r="O101" s="15" t="str">
        <f aca="false">IF(OR(M101="",N101=""),"",M101+N101)</f>
        <v/>
      </c>
      <c r="P101" s="16" t="str">
        <f aca="true">IF(O101="","",O101-TODAY())</f>
        <v/>
      </c>
      <c r="Q101" s="17" t="str">
        <f aca="false">IF(A101="","",TRIM(IF(E101="","No owner. ","")&amp;IF(F101="","No storage location. ","")&amp;IF(D101="","Serial missing. ","")&amp;IF(OR(H101="",H101="Undecided"),"No disposition. ","")&amp;IF(AND(H101="Ship",J101="",K101=""),"Shipping but no container/vehicle. ","")&amp;IF(AND(J101&lt;&gt;"",K101&lt;&gt;""),"In both a container and a vehicle. ","")&amp;IF(AND(H101="Ship",L101=""),"No destination. ","")&amp;IF(AND(J101&lt;&gt;"",L101&lt;&gt;"",IFERROR(VLOOKUP(J101,Containers!$A$5:$F$60,6,FALSE()),L101)&lt;&gt;L101),"Destination differs from container. ","")&amp;IF(AND(K101&lt;&gt;"",L101&lt;&gt;"",IFERROR(VLOOKUP(K101,Vehicles!$A$5:$F$60,6,FALSE()),L101)&lt;&gt;L101),"Destination differs from vehicle. ","")&amp;IF(AND(H101="Stay",OR(J101&lt;&gt;"",K101&lt;&gt;"",L101&lt;&gt;"")),"Marked Stay but has a container/vehicle/destination. ","")&amp;IF(G101="Missing","Reported missing. ","")&amp;IF(AND(P101&lt;&gt;"",N(P101)&lt;0),"Service overdue. ","")))</f>
        <v/>
      </c>
      <c r="S101" s="17" t="str">
        <f aca="false">IF(A101="","",IF(CHOOSE(MATCH(Find!$C$4,Lists!$K$2:$K$7,0),F101,E101,J101,K101,L101,G101)=Find!$C$5,MAX(S$4:S100)+1,""))</f>
        <v/>
      </c>
      <c r="T101" s="17" t="str">
        <f aca="false">IF(A101="","",IF(OR(J101=Manifest!$C$4,K101=Manifest!$C$4),MAX(T$4:T100)+1,""))</f>
        <v/>
      </c>
    </row>
    <row r="102" customFormat="false" ht="15" hidden="false" customHeight="false" outlineLevel="0" collapsed="false">
      <c r="C102" s="14"/>
      <c r="E102" s="14"/>
      <c r="F102" s="14"/>
      <c r="G102" s="14"/>
      <c r="H102" s="14"/>
      <c r="M102" s="12"/>
      <c r="O102" s="15" t="str">
        <f aca="false">IF(OR(M102="",N102=""),"",M102+N102)</f>
        <v/>
      </c>
      <c r="P102" s="16" t="str">
        <f aca="true">IF(O102="","",O102-TODAY())</f>
        <v/>
      </c>
      <c r="Q102" s="17" t="str">
        <f aca="false">IF(A102="","",TRIM(IF(E102="","No owner. ","")&amp;IF(F102="","No storage location. ","")&amp;IF(D102="","Serial missing. ","")&amp;IF(OR(H102="",H102="Undecided"),"No disposition. ","")&amp;IF(AND(H102="Ship",J102="",K102=""),"Shipping but no container/vehicle. ","")&amp;IF(AND(J102&lt;&gt;"",K102&lt;&gt;""),"In both a container and a vehicle. ","")&amp;IF(AND(H102="Ship",L102=""),"No destination. ","")&amp;IF(AND(J102&lt;&gt;"",L102&lt;&gt;"",IFERROR(VLOOKUP(J102,Containers!$A$5:$F$60,6,FALSE()),L102)&lt;&gt;L102),"Destination differs from container. ","")&amp;IF(AND(K102&lt;&gt;"",L102&lt;&gt;"",IFERROR(VLOOKUP(K102,Vehicles!$A$5:$F$60,6,FALSE()),L102)&lt;&gt;L102),"Destination differs from vehicle. ","")&amp;IF(AND(H102="Stay",OR(J102&lt;&gt;"",K102&lt;&gt;"",L102&lt;&gt;"")),"Marked Stay but has a container/vehicle/destination. ","")&amp;IF(G102="Missing","Reported missing. ","")&amp;IF(AND(P102&lt;&gt;"",N(P102)&lt;0),"Service overdue. ","")))</f>
        <v/>
      </c>
      <c r="S102" s="17" t="str">
        <f aca="false">IF(A102="","",IF(CHOOSE(MATCH(Find!$C$4,Lists!$K$2:$K$7,0),F102,E102,J102,K102,L102,G102)=Find!$C$5,MAX(S$4:S101)+1,""))</f>
        <v/>
      </c>
      <c r="T102" s="17" t="str">
        <f aca="false">IF(A102="","",IF(OR(J102=Manifest!$C$4,K102=Manifest!$C$4),MAX(T$4:T101)+1,""))</f>
        <v/>
      </c>
    </row>
    <row r="103" customFormat="false" ht="15" hidden="false" customHeight="false" outlineLevel="0" collapsed="false">
      <c r="C103" s="14"/>
      <c r="E103" s="14"/>
      <c r="F103" s="14"/>
      <c r="G103" s="14"/>
      <c r="H103" s="14"/>
      <c r="M103" s="12"/>
      <c r="O103" s="15" t="str">
        <f aca="false">IF(OR(M103="",N103=""),"",M103+N103)</f>
        <v/>
      </c>
      <c r="P103" s="16" t="str">
        <f aca="true">IF(O103="","",O103-TODAY())</f>
        <v/>
      </c>
      <c r="Q103" s="17" t="str">
        <f aca="false">IF(A103="","",TRIM(IF(E103="","No owner. ","")&amp;IF(F103="","No storage location. ","")&amp;IF(D103="","Serial missing. ","")&amp;IF(OR(H103="",H103="Undecided"),"No disposition. ","")&amp;IF(AND(H103="Ship",J103="",K103=""),"Shipping but no container/vehicle. ","")&amp;IF(AND(J103&lt;&gt;"",K103&lt;&gt;""),"In both a container and a vehicle. ","")&amp;IF(AND(H103="Ship",L103=""),"No destination. ","")&amp;IF(AND(J103&lt;&gt;"",L103&lt;&gt;"",IFERROR(VLOOKUP(J103,Containers!$A$5:$F$60,6,FALSE()),L103)&lt;&gt;L103),"Destination differs from container. ","")&amp;IF(AND(K103&lt;&gt;"",L103&lt;&gt;"",IFERROR(VLOOKUP(K103,Vehicles!$A$5:$F$60,6,FALSE()),L103)&lt;&gt;L103),"Destination differs from vehicle. ","")&amp;IF(AND(H103="Stay",OR(J103&lt;&gt;"",K103&lt;&gt;"",L103&lt;&gt;"")),"Marked Stay but has a container/vehicle/destination. ","")&amp;IF(G103="Missing","Reported missing. ","")&amp;IF(AND(P103&lt;&gt;"",N(P103)&lt;0),"Service overdue. ","")))</f>
        <v/>
      </c>
      <c r="S103" s="17" t="str">
        <f aca="false">IF(A103="","",IF(CHOOSE(MATCH(Find!$C$4,Lists!$K$2:$K$7,0),F103,E103,J103,K103,L103,G103)=Find!$C$5,MAX(S$4:S102)+1,""))</f>
        <v/>
      </c>
      <c r="T103" s="17" t="str">
        <f aca="false">IF(A103="","",IF(OR(J103=Manifest!$C$4,K103=Manifest!$C$4),MAX(T$4:T102)+1,""))</f>
        <v/>
      </c>
    </row>
    <row r="104" customFormat="false" ht="15" hidden="false" customHeight="false" outlineLevel="0" collapsed="false">
      <c r="C104" s="14"/>
      <c r="E104" s="14"/>
      <c r="F104" s="14"/>
      <c r="G104" s="14"/>
      <c r="H104" s="14"/>
      <c r="M104" s="12"/>
      <c r="O104" s="15" t="str">
        <f aca="false">IF(OR(M104="",N104=""),"",M104+N104)</f>
        <v/>
      </c>
      <c r="P104" s="16" t="str">
        <f aca="true">IF(O104="","",O104-TODAY())</f>
        <v/>
      </c>
      <c r="Q104" s="17" t="str">
        <f aca="false">IF(A104="","",TRIM(IF(E104="","No owner. ","")&amp;IF(F104="","No storage location. ","")&amp;IF(D104="","Serial missing. ","")&amp;IF(OR(H104="",H104="Undecided"),"No disposition. ","")&amp;IF(AND(H104="Ship",J104="",K104=""),"Shipping but no container/vehicle. ","")&amp;IF(AND(J104&lt;&gt;"",K104&lt;&gt;""),"In both a container and a vehicle. ","")&amp;IF(AND(H104="Ship",L104=""),"No destination. ","")&amp;IF(AND(J104&lt;&gt;"",L104&lt;&gt;"",IFERROR(VLOOKUP(J104,Containers!$A$5:$F$60,6,FALSE()),L104)&lt;&gt;L104),"Destination differs from container. ","")&amp;IF(AND(K104&lt;&gt;"",L104&lt;&gt;"",IFERROR(VLOOKUP(K104,Vehicles!$A$5:$F$60,6,FALSE()),L104)&lt;&gt;L104),"Destination differs from vehicle. ","")&amp;IF(AND(H104="Stay",OR(J104&lt;&gt;"",K104&lt;&gt;"",L104&lt;&gt;"")),"Marked Stay but has a container/vehicle/destination. ","")&amp;IF(G104="Missing","Reported missing. ","")&amp;IF(AND(P104&lt;&gt;"",N(P104)&lt;0),"Service overdue. ","")))</f>
        <v/>
      </c>
      <c r="S104" s="17" t="str">
        <f aca="false">IF(A104="","",IF(CHOOSE(MATCH(Find!$C$4,Lists!$K$2:$K$7,0),F104,E104,J104,K104,L104,G104)=Find!$C$5,MAX(S$4:S103)+1,""))</f>
        <v/>
      </c>
      <c r="T104" s="17" t="str">
        <f aca="false">IF(A104="","",IF(OR(J104=Manifest!$C$4,K104=Manifest!$C$4),MAX(T$4:T103)+1,""))</f>
        <v/>
      </c>
    </row>
    <row r="105" customFormat="false" ht="15" hidden="false" customHeight="false" outlineLevel="0" collapsed="false">
      <c r="C105" s="14"/>
      <c r="E105" s="14"/>
      <c r="F105" s="14"/>
      <c r="G105" s="14"/>
      <c r="H105" s="14"/>
      <c r="M105" s="12"/>
      <c r="O105" s="15" t="str">
        <f aca="false">IF(OR(M105="",N105=""),"",M105+N105)</f>
        <v/>
      </c>
      <c r="P105" s="16" t="str">
        <f aca="true">IF(O105="","",O105-TODAY())</f>
        <v/>
      </c>
      <c r="Q105" s="17" t="str">
        <f aca="false">IF(A105="","",TRIM(IF(E105="","No owner. ","")&amp;IF(F105="","No storage location. ","")&amp;IF(D105="","Serial missing. ","")&amp;IF(OR(H105="",H105="Undecided"),"No disposition. ","")&amp;IF(AND(H105="Ship",J105="",K105=""),"Shipping but no container/vehicle. ","")&amp;IF(AND(J105&lt;&gt;"",K105&lt;&gt;""),"In both a container and a vehicle. ","")&amp;IF(AND(H105="Ship",L105=""),"No destination. ","")&amp;IF(AND(J105&lt;&gt;"",L105&lt;&gt;"",IFERROR(VLOOKUP(J105,Containers!$A$5:$F$60,6,FALSE()),L105)&lt;&gt;L105),"Destination differs from container. ","")&amp;IF(AND(K105&lt;&gt;"",L105&lt;&gt;"",IFERROR(VLOOKUP(K105,Vehicles!$A$5:$F$60,6,FALSE()),L105)&lt;&gt;L105),"Destination differs from vehicle. ","")&amp;IF(AND(H105="Stay",OR(J105&lt;&gt;"",K105&lt;&gt;"",L105&lt;&gt;"")),"Marked Stay but has a container/vehicle/destination. ","")&amp;IF(G105="Missing","Reported missing. ","")&amp;IF(AND(P105&lt;&gt;"",N(P105)&lt;0),"Service overdue. ","")))</f>
        <v/>
      </c>
      <c r="S105" s="17" t="str">
        <f aca="false">IF(A105="","",IF(CHOOSE(MATCH(Find!$C$4,Lists!$K$2:$K$7,0),F105,E105,J105,K105,L105,G105)=Find!$C$5,MAX(S$4:S104)+1,""))</f>
        <v/>
      </c>
      <c r="T105" s="17" t="str">
        <f aca="false">IF(A105="","",IF(OR(J105=Manifest!$C$4,K105=Manifest!$C$4),MAX(T$4:T104)+1,""))</f>
        <v/>
      </c>
    </row>
    <row r="106" customFormat="false" ht="15" hidden="false" customHeight="false" outlineLevel="0" collapsed="false">
      <c r="C106" s="14"/>
      <c r="E106" s="14"/>
      <c r="F106" s="14"/>
      <c r="G106" s="14"/>
      <c r="H106" s="14"/>
      <c r="M106" s="12"/>
      <c r="O106" s="15" t="str">
        <f aca="false">IF(OR(M106="",N106=""),"",M106+N106)</f>
        <v/>
      </c>
      <c r="P106" s="16" t="str">
        <f aca="true">IF(O106="","",O106-TODAY())</f>
        <v/>
      </c>
      <c r="Q106" s="17" t="str">
        <f aca="false">IF(A106="","",TRIM(IF(E106="","No owner. ","")&amp;IF(F106="","No storage location. ","")&amp;IF(D106="","Serial missing. ","")&amp;IF(OR(H106="",H106="Undecided"),"No disposition. ","")&amp;IF(AND(H106="Ship",J106="",K106=""),"Shipping but no container/vehicle. ","")&amp;IF(AND(J106&lt;&gt;"",K106&lt;&gt;""),"In both a container and a vehicle. ","")&amp;IF(AND(H106="Ship",L106=""),"No destination. ","")&amp;IF(AND(J106&lt;&gt;"",L106&lt;&gt;"",IFERROR(VLOOKUP(J106,Containers!$A$5:$F$60,6,FALSE()),L106)&lt;&gt;L106),"Destination differs from container. ","")&amp;IF(AND(K106&lt;&gt;"",L106&lt;&gt;"",IFERROR(VLOOKUP(K106,Vehicles!$A$5:$F$60,6,FALSE()),L106)&lt;&gt;L106),"Destination differs from vehicle. ","")&amp;IF(AND(H106="Stay",OR(J106&lt;&gt;"",K106&lt;&gt;"",L106&lt;&gt;"")),"Marked Stay but has a container/vehicle/destination. ","")&amp;IF(G106="Missing","Reported missing. ","")&amp;IF(AND(P106&lt;&gt;"",N(P106)&lt;0),"Service overdue. ","")))</f>
        <v/>
      </c>
      <c r="S106" s="17" t="str">
        <f aca="false">IF(A106="","",IF(CHOOSE(MATCH(Find!$C$4,Lists!$K$2:$K$7,0),F106,E106,J106,K106,L106,G106)=Find!$C$5,MAX(S$4:S105)+1,""))</f>
        <v/>
      </c>
      <c r="T106" s="17" t="str">
        <f aca="false">IF(A106="","",IF(OR(J106=Manifest!$C$4,K106=Manifest!$C$4),MAX(T$4:T105)+1,""))</f>
        <v/>
      </c>
    </row>
    <row r="107" customFormat="false" ht="15" hidden="false" customHeight="false" outlineLevel="0" collapsed="false">
      <c r="C107" s="14"/>
      <c r="E107" s="14"/>
      <c r="F107" s="14"/>
      <c r="G107" s="14"/>
      <c r="H107" s="14"/>
      <c r="M107" s="12"/>
      <c r="O107" s="15" t="str">
        <f aca="false">IF(OR(M107="",N107=""),"",M107+N107)</f>
        <v/>
      </c>
      <c r="P107" s="16" t="str">
        <f aca="true">IF(O107="","",O107-TODAY())</f>
        <v/>
      </c>
      <c r="Q107" s="17" t="str">
        <f aca="false">IF(A107="","",TRIM(IF(E107="","No owner. ","")&amp;IF(F107="","No storage location. ","")&amp;IF(D107="","Serial missing. ","")&amp;IF(OR(H107="",H107="Undecided"),"No disposition. ","")&amp;IF(AND(H107="Ship",J107="",K107=""),"Shipping but no container/vehicle. ","")&amp;IF(AND(J107&lt;&gt;"",K107&lt;&gt;""),"In both a container and a vehicle. ","")&amp;IF(AND(H107="Ship",L107=""),"No destination. ","")&amp;IF(AND(J107&lt;&gt;"",L107&lt;&gt;"",IFERROR(VLOOKUP(J107,Containers!$A$5:$F$60,6,FALSE()),L107)&lt;&gt;L107),"Destination differs from container. ","")&amp;IF(AND(K107&lt;&gt;"",L107&lt;&gt;"",IFERROR(VLOOKUP(K107,Vehicles!$A$5:$F$60,6,FALSE()),L107)&lt;&gt;L107),"Destination differs from vehicle. ","")&amp;IF(AND(H107="Stay",OR(J107&lt;&gt;"",K107&lt;&gt;"",L107&lt;&gt;"")),"Marked Stay but has a container/vehicle/destination. ","")&amp;IF(G107="Missing","Reported missing. ","")&amp;IF(AND(P107&lt;&gt;"",N(P107)&lt;0),"Service overdue. ","")))</f>
        <v/>
      </c>
      <c r="S107" s="17" t="str">
        <f aca="false">IF(A107="","",IF(CHOOSE(MATCH(Find!$C$4,Lists!$K$2:$K$7,0),F107,E107,J107,K107,L107,G107)=Find!$C$5,MAX(S$4:S106)+1,""))</f>
        <v/>
      </c>
      <c r="T107" s="17" t="str">
        <f aca="false">IF(A107="","",IF(OR(J107=Manifest!$C$4,K107=Manifest!$C$4),MAX(T$4:T106)+1,""))</f>
        <v/>
      </c>
    </row>
    <row r="108" customFormat="false" ht="15" hidden="false" customHeight="false" outlineLevel="0" collapsed="false">
      <c r="C108" s="14"/>
      <c r="E108" s="14"/>
      <c r="F108" s="14"/>
      <c r="G108" s="14"/>
      <c r="H108" s="14"/>
      <c r="M108" s="12"/>
      <c r="O108" s="15" t="str">
        <f aca="false">IF(OR(M108="",N108=""),"",M108+N108)</f>
        <v/>
      </c>
      <c r="P108" s="16" t="str">
        <f aca="true">IF(O108="","",O108-TODAY())</f>
        <v/>
      </c>
      <c r="Q108" s="17" t="str">
        <f aca="false">IF(A108="","",TRIM(IF(E108="","No owner. ","")&amp;IF(F108="","No storage location. ","")&amp;IF(D108="","Serial missing. ","")&amp;IF(OR(H108="",H108="Undecided"),"No disposition. ","")&amp;IF(AND(H108="Ship",J108="",K108=""),"Shipping but no container/vehicle. ","")&amp;IF(AND(J108&lt;&gt;"",K108&lt;&gt;""),"In both a container and a vehicle. ","")&amp;IF(AND(H108="Ship",L108=""),"No destination. ","")&amp;IF(AND(J108&lt;&gt;"",L108&lt;&gt;"",IFERROR(VLOOKUP(J108,Containers!$A$5:$F$60,6,FALSE()),L108)&lt;&gt;L108),"Destination differs from container. ","")&amp;IF(AND(K108&lt;&gt;"",L108&lt;&gt;"",IFERROR(VLOOKUP(K108,Vehicles!$A$5:$F$60,6,FALSE()),L108)&lt;&gt;L108),"Destination differs from vehicle. ","")&amp;IF(AND(H108="Stay",OR(J108&lt;&gt;"",K108&lt;&gt;"",L108&lt;&gt;"")),"Marked Stay but has a container/vehicle/destination. ","")&amp;IF(G108="Missing","Reported missing. ","")&amp;IF(AND(P108&lt;&gt;"",N(P108)&lt;0),"Service overdue. ","")))</f>
        <v/>
      </c>
      <c r="S108" s="17" t="str">
        <f aca="false">IF(A108="","",IF(CHOOSE(MATCH(Find!$C$4,Lists!$K$2:$K$7,0),F108,E108,J108,K108,L108,G108)=Find!$C$5,MAX(S$4:S107)+1,""))</f>
        <v/>
      </c>
      <c r="T108" s="17" t="str">
        <f aca="false">IF(A108="","",IF(OR(J108=Manifest!$C$4,K108=Manifest!$C$4),MAX(T$4:T107)+1,""))</f>
        <v/>
      </c>
    </row>
    <row r="109" customFormat="false" ht="15" hidden="false" customHeight="false" outlineLevel="0" collapsed="false">
      <c r="C109" s="14"/>
      <c r="E109" s="14"/>
      <c r="F109" s="14"/>
      <c r="G109" s="14"/>
      <c r="H109" s="14"/>
      <c r="M109" s="12"/>
      <c r="O109" s="15" t="str">
        <f aca="false">IF(OR(M109="",N109=""),"",M109+N109)</f>
        <v/>
      </c>
      <c r="P109" s="16" t="str">
        <f aca="true">IF(O109="","",O109-TODAY())</f>
        <v/>
      </c>
      <c r="Q109" s="17" t="str">
        <f aca="false">IF(A109="","",TRIM(IF(E109="","No owner. ","")&amp;IF(F109="","No storage location. ","")&amp;IF(D109="","Serial missing. ","")&amp;IF(OR(H109="",H109="Undecided"),"No disposition. ","")&amp;IF(AND(H109="Ship",J109="",K109=""),"Shipping but no container/vehicle. ","")&amp;IF(AND(J109&lt;&gt;"",K109&lt;&gt;""),"In both a container and a vehicle. ","")&amp;IF(AND(H109="Ship",L109=""),"No destination. ","")&amp;IF(AND(J109&lt;&gt;"",L109&lt;&gt;"",IFERROR(VLOOKUP(J109,Containers!$A$5:$F$60,6,FALSE()),L109)&lt;&gt;L109),"Destination differs from container. ","")&amp;IF(AND(K109&lt;&gt;"",L109&lt;&gt;"",IFERROR(VLOOKUP(K109,Vehicles!$A$5:$F$60,6,FALSE()),L109)&lt;&gt;L109),"Destination differs from vehicle. ","")&amp;IF(AND(H109="Stay",OR(J109&lt;&gt;"",K109&lt;&gt;"",L109&lt;&gt;"")),"Marked Stay but has a container/vehicle/destination. ","")&amp;IF(G109="Missing","Reported missing. ","")&amp;IF(AND(P109&lt;&gt;"",N(P109)&lt;0),"Service overdue. ","")))</f>
        <v/>
      </c>
      <c r="S109" s="17" t="str">
        <f aca="false">IF(A109="","",IF(CHOOSE(MATCH(Find!$C$4,Lists!$K$2:$K$7,0),F109,E109,J109,K109,L109,G109)=Find!$C$5,MAX(S$4:S108)+1,""))</f>
        <v/>
      </c>
      <c r="T109" s="17" t="str">
        <f aca="false">IF(A109="","",IF(OR(J109=Manifest!$C$4,K109=Manifest!$C$4),MAX(T$4:T108)+1,""))</f>
        <v/>
      </c>
    </row>
    <row r="110" customFormat="false" ht="15" hidden="false" customHeight="false" outlineLevel="0" collapsed="false">
      <c r="C110" s="14"/>
      <c r="E110" s="14"/>
      <c r="F110" s="14"/>
      <c r="G110" s="14"/>
      <c r="H110" s="14"/>
      <c r="M110" s="12"/>
      <c r="O110" s="15" t="str">
        <f aca="false">IF(OR(M110="",N110=""),"",M110+N110)</f>
        <v/>
      </c>
      <c r="P110" s="16" t="str">
        <f aca="true">IF(O110="","",O110-TODAY())</f>
        <v/>
      </c>
      <c r="Q110" s="17" t="str">
        <f aca="false">IF(A110="","",TRIM(IF(E110="","No owner. ","")&amp;IF(F110="","No storage location. ","")&amp;IF(D110="","Serial missing. ","")&amp;IF(OR(H110="",H110="Undecided"),"No disposition. ","")&amp;IF(AND(H110="Ship",J110="",K110=""),"Shipping but no container/vehicle. ","")&amp;IF(AND(J110&lt;&gt;"",K110&lt;&gt;""),"In both a container and a vehicle. ","")&amp;IF(AND(H110="Ship",L110=""),"No destination. ","")&amp;IF(AND(J110&lt;&gt;"",L110&lt;&gt;"",IFERROR(VLOOKUP(J110,Containers!$A$5:$F$60,6,FALSE()),L110)&lt;&gt;L110),"Destination differs from container. ","")&amp;IF(AND(K110&lt;&gt;"",L110&lt;&gt;"",IFERROR(VLOOKUP(K110,Vehicles!$A$5:$F$60,6,FALSE()),L110)&lt;&gt;L110),"Destination differs from vehicle. ","")&amp;IF(AND(H110="Stay",OR(J110&lt;&gt;"",K110&lt;&gt;"",L110&lt;&gt;"")),"Marked Stay but has a container/vehicle/destination. ","")&amp;IF(G110="Missing","Reported missing. ","")&amp;IF(AND(P110&lt;&gt;"",N(P110)&lt;0),"Service overdue. ","")))</f>
        <v/>
      </c>
      <c r="S110" s="17" t="str">
        <f aca="false">IF(A110="","",IF(CHOOSE(MATCH(Find!$C$4,Lists!$K$2:$K$7,0),F110,E110,J110,K110,L110,G110)=Find!$C$5,MAX(S$4:S109)+1,""))</f>
        <v/>
      </c>
      <c r="T110" s="17" t="str">
        <f aca="false">IF(A110="","",IF(OR(J110=Manifest!$C$4,K110=Manifest!$C$4),MAX(T$4:T109)+1,""))</f>
        <v/>
      </c>
    </row>
    <row r="111" customFormat="false" ht="15" hidden="false" customHeight="false" outlineLevel="0" collapsed="false">
      <c r="C111" s="14"/>
      <c r="E111" s="14"/>
      <c r="F111" s="14"/>
      <c r="G111" s="14"/>
      <c r="H111" s="14"/>
      <c r="M111" s="12"/>
      <c r="O111" s="15" t="str">
        <f aca="false">IF(OR(M111="",N111=""),"",M111+N111)</f>
        <v/>
      </c>
      <c r="P111" s="16" t="str">
        <f aca="true">IF(O111="","",O111-TODAY())</f>
        <v/>
      </c>
      <c r="Q111" s="17" t="str">
        <f aca="false">IF(A111="","",TRIM(IF(E111="","No owner. ","")&amp;IF(F111="","No storage location. ","")&amp;IF(D111="","Serial missing. ","")&amp;IF(OR(H111="",H111="Undecided"),"No disposition. ","")&amp;IF(AND(H111="Ship",J111="",K111=""),"Shipping but no container/vehicle. ","")&amp;IF(AND(J111&lt;&gt;"",K111&lt;&gt;""),"In both a container and a vehicle. ","")&amp;IF(AND(H111="Ship",L111=""),"No destination. ","")&amp;IF(AND(J111&lt;&gt;"",L111&lt;&gt;"",IFERROR(VLOOKUP(J111,Containers!$A$5:$F$60,6,FALSE()),L111)&lt;&gt;L111),"Destination differs from container. ","")&amp;IF(AND(K111&lt;&gt;"",L111&lt;&gt;"",IFERROR(VLOOKUP(K111,Vehicles!$A$5:$F$60,6,FALSE()),L111)&lt;&gt;L111),"Destination differs from vehicle. ","")&amp;IF(AND(H111="Stay",OR(J111&lt;&gt;"",K111&lt;&gt;"",L111&lt;&gt;"")),"Marked Stay but has a container/vehicle/destination. ","")&amp;IF(G111="Missing","Reported missing. ","")&amp;IF(AND(P111&lt;&gt;"",N(P111)&lt;0),"Service overdue. ","")))</f>
        <v/>
      </c>
      <c r="S111" s="17" t="str">
        <f aca="false">IF(A111="","",IF(CHOOSE(MATCH(Find!$C$4,Lists!$K$2:$K$7,0),F111,E111,J111,K111,L111,G111)=Find!$C$5,MAX(S$4:S110)+1,""))</f>
        <v/>
      </c>
      <c r="T111" s="17" t="str">
        <f aca="false">IF(A111="","",IF(OR(J111=Manifest!$C$4,K111=Manifest!$C$4),MAX(T$4:T110)+1,""))</f>
        <v/>
      </c>
    </row>
    <row r="112" customFormat="false" ht="15" hidden="false" customHeight="false" outlineLevel="0" collapsed="false">
      <c r="C112" s="14"/>
      <c r="E112" s="14"/>
      <c r="F112" s="14"/>
      <c r="G112" s="14"/>
      <c r="H112" s="14"/>
      <c r="M112" s="12"/>
      <c r="O112" s="15" t="str">
        <f aca="false">IF(OR(M112="",N112=""),"",M112+N112)</f>
        <v/>
      </c>
      <c r="P112" s="16" t="str">
        <f aca="true">IF(O112="","",O112-TODAY())</f>
        <v/>
      </c>
      <c r="Q112" s="17" t="str">
        <f aca="false">IF(A112="","",TRIM(IF(E112="","No owner. ","")&amp;IF(F112="","No storage location. ","")&amp;IF(D112="","Serial missing. ","")&amp;IF(OR(H112="",H112="Undecided"),"No disposition. ","")&amp;IF(AND(H112="Ship",J112="",K112=""),"Shipping but no container/vehicle. ","")&amp;IF(AND(J112&lt;&gt;"",K112&lt;&gt;""),"In both a container and a vehicle. ","")&amp;IF(AND(H112="Ship",L112=""),"No destination. ","")&amp;IF(AND(J112&lt;&gt;"",L112&lt;&gt;"",IFERROR(VLOOKUP(J112,Containers!$A$5:$F$60,6,FALSE()),L112)&lt;&gt;L112),"Destination differs from container. ","")&amp;IF(AND(K112&lt;&gt;"",L112&lt;&gt;"",IFERROR(VLOOKUP(K112,Vehicles!$A$5:$F$60,6,FALSE()),L112)&lt;&gt;L112),"Destination differs from vehicle. ","")&amp;IF(AND(H112="Stay",OR(J112&lt;&gt;"",K112&lt;&gt;"",L112&lt;&gt;"")),"Marked Stay but has a container/vehicle/destination. ","")&amp;IF(G112="Missing","Reported missing. ","")&amp;IF(AND(P112&lt;&gt;"",N(P112)&lt;0),"Service overdue. ","")))</f>
        <v/>
      </c>
      <c r="S112" s="17" t="str">
        <f aca="false">IF(A112="","",IF(CHOOSE(MATCH(Find!$C$4,Lists!$K$2:$K$7,0),F112,E112,J112,K112,L112,G112)=Find!$C$5,MAX(S$4:S111)+1,""))</f>
        <v/>
      </c>
      <c r="T112" s="17" t="str">
        <f aca="false">IF(A112="","",IF(OR(J112=Manifest!$C$4,K112=Manifest!$C$4),MAX(T$4:T111)+1,""))</f>
        <v/>
      </c>
    </row>
    <row r="113" customFormat="false" ht="15" hidden="false" customHeight="false" outlineLevel="0" collapsed="false">
      <c r="C113" s="14"/>
      <c r="E113" s="14"/>
      <c r="F113" s="14"/>
      <c r="G113" s="14"/>
      <c r="H113" s="14"/>
      <c r="M113" s="12"/>
      <c r="O113" s="15" t="str">
        <f aca="false">IF(OR(M113="",N113=""),"",M113+N113)</f>
        <v/>
      </c>
      <c r="P113" s="16" t="str">
        <f aca="true">IF(O113="","",O113-TODAY())</f>
        <v/>
      </c>
      <c r="Q113" s="17" t="str">
        <f aca="false">IF(A113="","",TRIM(IF(E113="","No owner. ","")&amp;IF(F113="","No storage location. ","")&amp;IF(D113="","Serial missing. ","")&amp;IF(OR(H113="",H113="Undecided"),"No disposition. ","")&amp;IF(AND(H113="Ship",J113="",K113=""),"Shipping but no container/vehicle. ","")&amp;IF(AND(J113&lt;&gt;"",K113&lt;&gt;""),"In both a container and a vehicle. ","")&amp;IF(AND(H113="Ship",L113=""),"No destination. ","")&amp;IF(AND(J113&lt;&gt;"",L113&lt;&gt;"",IFERROR(VLOOKUP(J113,Containers!$A$5:$F$60,6,FALSE()),L113)&lt;&gt;L113),"Destination differs from container. ","")&amp;IF(AND(K113&lt;&gt;"",L113&lt;&gt;"",IFERROR(VLOOKUP(K113,Vehicles!$A$5:$F$60,6,FALSE()),L113)&lt;&gt;L113),"Destination differs from vehicle. ","")&amp;IF(AND(H113="Stay",OR(J113&lt;&gt;"",K113&lt;&gt;"",L113&lt;&gt;"")),"Marked Stay but has a container/vehicle/destination. ","")&amp;IF(G113="Missing","Reported missing. ","")&amp;IF(AND(P113&lt;&gt;"",N(P113)&lt;0),"Service overdue. ","")))</f>
        <v/>
      </c>
      <c r="S113" s="17" t="str">
        <f aca="false">IF(A113="","",IF(CHOOSE(MATCH(Find!$C$4,Lists!$K$2:$K$7,0),F113,E113,J113,K113,L113,G113)=Find!$C$5,MAX(S$4:S112)+1,""))</f>
        <v/>
      </c>
      <c r="T113" s="17" t="str">
        <f aca="false">IF(A113="","",IF(OR(J113=Manifest!$C$4,K113=Manifest!$C$4),MAX(T$4:T112)+1,""))</f>
        <v/>
      </c>
    </row>
    <row r="114" customFormat="false" ht="15" hidden="false" customHeight="false" outlineLevel="0" collapsed="false">
      <c r="C114" s="14"/>
      <c r="E114" s="14"/>
      <c r="F114" s="14"/>
      <c r="G114" s="14"/>
      <c r="H114" s="14"/>
      <c r="M114" s="12"/>
      <c r="O114" s="15" t="str">
        <f aca="false">IF(OR(M114="",N114=""),"",M114+N114)</f>
        <v/>
      </c>
      <c r="P114" s="16" t="str">
        <f aca="true">IF(O114="","",O114-TODAY())</f>
        <v/>
      </c>
      <c r="Q114" s="17" t="str">
        <f aca="false">IF(A114="","",TRIM(IF(E114="","No owner. ","")&amp;IF(F114="","No storage location. ","")&amp;IF(D114="","Serial missing. ","")&amp;IF(OR(H114="",H114="Undecided"),"No disposition. ","")&amp;IF(AND(H114="Ship",J114="",K114=""),"Shipping but no container/vehicle. ","")&amp;IF(AND(J114&lt;&gt;"",K114&lt;&gt;""),"In both a container and a vehicle. ","")&amp;IF(AND(H114="Ship",L114=""),"No destination. ","")&amp;IF(AND(J114&lt;&gt;"",L114&lt;&gt;"",IFERROR(VLOOKUP(J114,Containers!$A$5:$F$60,6,FALSE()),L114)&lt;&gt;L114),"Destination differs from container. ","")&amp;IF(AND(K114&lt;&gt;"",L114&lt;&gt;"",IFERROR(VLOOKUP(K114,Vehicles!$A$5:$F$60,6,FALSE()),L114)&lt;&gt;L114),"Destination differs from vehicle. ","")&amp;IF(AND(H114="Stay",OR(J114&lt;&gt;"",K114&lt;&gt;"",L114&lt;&gt;"")),"Marked Stay but has a container/vehicle/destination. ","")&amp;IF(G114="Missing","Reported missing. ","")&amp;IF(AND(P114&lt;&gt;"",N(P114)&lt;0),"Service overdue. ","")))</f>
        <v/>
      </c>
      <c r="S114" s="17" t="str">
        <f aca="false">IF(A114="","",IF(CHOOSE(MATCH(Find!$C$4,Lists!$K$2:$K$7,0),F114,E114,J114,K114,L114,G114)=Find!$C$5,MAX(S$4:S113)+1,""))</f>
        <v/>
      </c>
      <c r="T114" s="17" t="str">
        <f aca="false">IF(A114="","",IF(OR(J114=Manifest!$C$4,K114=Manifest!$C$4),MAX(T$4:T113)+1,""))</f>
        <v/>
      </c>
    </row>
    <row r="115" customFormat="false" ht="15" hidden="false" customHeight="false" outlineLevel="0" collapsed="false">
      <c r="C115" s="14"/>
      <c r="E115" s="14"/>
      <c r="F115" s="14"/>
      <c r="G115" s="14"/>
      <c r="H115" s="14"/>
      <c r="M115" s="12"/>
      <c r="O115" s="15" t="str">
        <f aca="false">IF(OR(M115="",N115=""),"",M115+N115)</f>
        <v/>
      </c>
      <c r="P115" s="16" t="str">
        <f aca="true">IF(O115="","",O115-TODAY())</f>
        <v/>
      </c>
      <c r="Q115" s="17" t="str">
        <f aca="false">IF(A115="","",TRIM(IF(E115="","No owner. ","")&amp;IF(F115="","No storage location. ","")&amp;IF(D115="","Serial missing. ","")&amp;IF(OR(H115="",H115="Undecided"),"No disposition. ","")&amp;IF(AND(H115="Ship",J115="",K115=""),"Shipping but no container/vehicle. ","")&amp;IF(AND(J115&lt;&gt;"",K115&lt;&gt;""),"In both a container and a vehicle. ","")&amp;IF(AND(H115="Ship",L115=""),"No destination. ","")&amp;IF(AND(J115&lt;&gt;"",L115&lt;&gt;"",IFERROR(VLOOKUP(J115,Containers!$A$5:$F$60,6,FALSE()),L115)&lt;&gt;L115),"Destination differs from container. ","")&amp;IF(AND(K115&lt;&gt;"",L115&lt;&gt;"",IFERROR(VLOOKUP(K115,Vehicles!$A$5:$F$60,6,FALSE()),L115)&lt;&gt;L115),"Destination differs from vehicle. ","")&amp;IF(AND(H115="Stay",OR(J115&lt;&gt;"",K115&lt;&gt;"",L115&lt;&gt;"")),"Marked Stay but has a container/vehicle/destination. ","")&amp;IF(G115="Missing","Reported missing. ","")&amp;IF(AND(P115&lt;&gt;"",N(P115)&lt;0),"Service overdue. ","")))</f>
        <v/>
      </c>
      <c r="S115" s="17" t="str">
        <f aca="false">IF(A115="","",IF(CHOOSE(MATCH(Find!$C$4,Lists!$K$2:$K$7,0),F115,E115,J115,K115,L115,G115)=Find!$C$5,MAX(S$4:S114)+1,""))</f>
        <v/>
      </c>
      <c r="T115" s="17" t="str">
        <f aca="false">IF(A115="","",IF(OR(J115=Manifest!$C$4,K115=Manifest!$C$4),MAX(T$4:T114)+1,""))</f>
        <v/>
      </c>
    </row>
    <row r="116" customFormat="false" ht="15" hidden="false" customHeight="false" outlineLevel="0" collapsed="false">
      <c r="C116" s="14"/>
      <c r="E116" s="14"/>
      <c r="F116" s="14"/>
      <c r="G116" s="14"/>
      <c r="H116" s="14"/>
      <c r="M116" s="12"/>
      <c r="O116" s="15" t="str">
        <f aca="false">IF(OR(M116="",N116=""),"",M116+N116)</f>
        <v/>
      </c>
      <c r="P116" s="16" t="str">
        <f aca="true">IF(O116="","",O116-TODAY())</f>
        <v/>
      </c>
      <c r="Q116" s="17" t="str">
        <f aca="false">IF(A116="","",TRIM(IF(E116="","No owner. ","")&amp;IF(F116="","No storage location. ","")&amp;IF(D116="","Serial missing. ","")&amp;IF(OR(H116="",H116="Undecided"),"No disposition. ","")&amp;IF(AND(H116="Ship",J116="",K116=""),"Shipping but no container/vehicle. ","")&amp;IF(AND(J116&lt;&gt;"",K116&lt;&gt;""),"In both a container and a vehicle. ","")&amp;IF(AND(H116="Ship",L116=""),"No destination. ","")&amp;IF(AND(J116&lt;&gt;"",L116&lt;&gt;"",IFERROR(VLOOKUP(J116,Containers!$A$5:$F$60,6,FALSE()),L116)&lt;&gt;L116),"Destination differs from container. ","")&amp;IF(AND(K116&lt;&gt;"",L116&lt;&gt;"",IFERROR(VLOOKUP(K116,Vehicles!$A$5:$F$60,6,FALSE()),L116)&lt;&gt;L116),"Destination differs from vehicle. ","")&amp;IF(AND(H116="Stay",OR(J116&lt;&gt;"",K116&lt;&gt;"",L116&lt;&gt;"")),"Marked Stay but has a container/vehicle/destination. ","")&amp;IF(G116="Missing","Reported missing. ","")&amp;IF(AND(P116&lt;&gt;"",N(P116)&lt;0),"Service overdue. ","")))</f>
        <v/>
      </c>
      <c r="S116" s="17" t="str">
        <f aca="false">IF(A116="","",IF(CHOOSE(MATCH(Find!$C$4,Lists!$K$2:$K$7,0),F116,E116,J116,K116,L116,G116)=Find!$C$5,MAX(S$4:S115)+1,""))</f>
        <v/>
      </c>
      <c r="T116" s="17" t="str">
        <f aca="false">IF(A116="","",IF(OR(J116=Manifest!$C$4,K116=Manifest!$C$4),MAX(T$4:T115)+1,""))</f>
        <v/>
      </c>
    </row>
    <row r="117" customFormat="false" ht="15" hidden="false" customHeight="false" outlineLevel="0" collapsed="false">
      <c r="C117" s="14"/>
      <c r="E117" s="14"/>
      <c r="F117" s="14"/>
      <c r="G117" s="14"/>
      <c r="H117" s="14"/>
      <c r="M117" s="12"/>
      <c r="O117" s="15" t="str">
        <f aca="false">IF(OR(M117="",N117=""),"",M117+N117)</f>
        <v/>
      </c>
      <c r="P117" s="16" t="str">
        <f aca="true">IF(O117="","",O117-TODAY())</f>
        <v/>
      </c>
      <c r="Q117" s="17" t="str">
        <f aca="false">IF(A117="","",TRIM(IF(E117="","No owner. ","")&amp;IF(F117="","No storage location. ","")&amp;IF(D117="","Serial missing. ","")&amp;IF(OR(H117="",H117="Undecided"),"No disposition. ","")&amp;IF(AND(H117="Ship",J117="",K117=""),"Shipping but no container/vehicle. ","")&amp;IF(AND(J117&lt;&gt;"",K117&lt;&gt;""),"In both a container and a vehicle. ","")&amp;IF(AND(H117="Ship",L117=""),"No destination. ","")&amp;IF(AND(J117&lt;&gt;"",L117&lt;&gt;"",IFERROR(VLOOKUP(J117,Containers!$A$5:$F$60,6,FALSE()),L117)&lt;&gt;L117),"Destination differs from container. ","")&amp;IF(AND(K117&lt;&gt;"",L117&lt;&gt;"",IFERROR(VLOOKUP(K117,Vehicles!$A$5:$F$60,6,FALSE()),L117)&lt;&gt;L117),"Destination differs from vehicle. ","")&amp;IF(AND(H117="Stay",OR(J117&lt;&gt;"",K117&lt;&gt;"",L117&lt;&gt;"")),"Marked Stay but has a container/vehicle/destination. ","")&amp;IF(G117="Missing","Reported missing. ","")&amp;IF(AND(P117&lt;&gt;"",N(P117)&lt;0),"Service overdue. ","")))</f>
        <v/>
      </c>
      <c r="S117" s="17" t="str">
        <f aca="false">IF(A117="","",IF(CHOOSE(MATCH(Find!$C$4,Lists!$K$2:$K$7,0),F117,E117,J117,K117,L117,G117)=Find!$C$5,MAX(S$4:S116)+1,""))</f>
        <v/>
      </c>
      <c r="T117" s="17" t="str">
        <f aca="false">IF(A117="","",IF(OR(J117=Manifest!$C$4,K117=Manifest!$C$4),MAX(T$4:T116)+1,""))</f>
        <v/>
      </c>
    </row>
    <row r="118" customFormat="false" ht="15" hidden="false" customHeight="false" outlineLevel="0" collapsed="false">
      <c r="C118" s="14"/>
      <c r="E118" s="14"/>
      <c r="F118" s="14"/>
      <c r="G118" s="14"/>
      <c r="H118" s="14"/>
      <c r="M118" s="12"/>
      <c r="O118" s="15" t="str">
        <f aca="false">IF(OR(M118="",N118=""),"",M118+N118)</f>
        <v/>
      </c>
      <c r="P118" s="16" t="str">
        <f aca="true">IF(O118="","",O118-TODAY())</f>
        <v/>
      </c>
      <c r="Q118" s="17" t="str">
        <f aca="false">IF(A118="","",TRIM(IF(E118="","No owner. ","")&amp;IF(F118="","No storage location. ","")&amp;IF(D118="","Serial missing. ","")&amp;IF(OR(H118="",H118="Undecided"),"No disposition. ","")&amp;IF(AND(H118="Ship",J118="",K118=""),"Shipping but no container/vehicle. ","")&amp;IF(AND(J118&lt;&gt;"",K118&lt;&gt;""),"In both a container and a vehicle. ","")&amp;IF(AND(H118="Ship",L118=""),"No destination. ","")&amp;IF(AND(J118&lt;&gt;"",L118&lt;&gt;"",IFERROR(VLOOKUP(J118,Containers!$A$5:$F$60,6,FALSE()),L118)&lt;&gt;L118),"Destination differs from container. ","")&amp;IF(AND(K118&lt;&gt;"",L118&lt;&gt;"",IFERROR(VLOOKUP(K118,Vehicles!$A$5:$F$60,6,FALSE()),L118)&lt;&gt;L118),"Destination differs from vehicle. ","")&amp;IF(AND(H118="Stay",OR(J118&lt;&gt;"",K118&lt;&gt;"",L118&lt;&gt;"")),"Marked Stay but has a container/vehicle/destination. ","")&amp;IF(G118="Missing","Reported missing. ","")&amp;IF(AND(P118&lt;&gt;"",N(P118)&lt;0),"Service overdue. ","")))</f>
        <v/>
      </c>
      <c r="S118" s="17" t="str">
        <f aca="false">IF(A118="","",IF(CHOOSE(MATCH(Find!$C$4,Lists!$K$2:$K$7,0),F118,E118,J118,K118,L118,G118)=Find!$C$5,MAX(S$4:S117)+1,""))</f>
        <v/>
      </c>
      <c r="T118" s="17" t="str">
        <f aca="false">IF(A118="","",IF(OR(J118=Manifest!$C$4,K118=Manifest!$C$4),MAX(T$4:T117)+1,""))</f>
        <v/>
      </c>
    </row>
    <row r="119" customFormat="false" ht="15" hidden="false" customHeight="false" outlineLevel="0" collapsed="false">
      <c r="C119" s="14"/>
      <c r="E119" s="14"/>
      <c r="F119" s="14"/>
      <c r="G119" s="14"/>
      <c r="H119" s="14"/>
      <c r="M119" s="12"/>
      <c r="O119" s="15" t="str">
        <f aca="false">IF(OR(M119="",N119=""),"",M119+N119)</f>
        <v/>
      </c>
      <c r="P119" s="16" t="str">
        <f aca="true">IF(O119="","",O119-TODAY())</f>
        <v/>
      </c>
      <c r="Q119" s="17" t="str">
        <f aca="false">IF(A119="","",TRIM(IF(E119="","No owner. ","")&amp;IF(F119="","No storage location. ","")&amp;IF(D119="","Serial missing. ","")&amp;IF(OR(H119="",H119="Undecided"),"No disposition. ","")&amp;IF(AND(H119="Ship",J119="",K119=""),"Shipping but no container/vehicle. ","")&amp;IF(AND(J119&lt;&gt;"",K119&lt;&gt;""),"In both a container and a vehicle. ","")&amp;IF(AND(H119="Ship",L119=""),"No destination. ","")&amp;IF(AND(J119&lt;&gt;"",L119&lt;&gt;"",IFERROR(VLOOKUP(J119,Containers!$A$5:$F$60,6,FALSE()),L119)&lt;&gt;L119),"Destination differs from container. ","")&amp;IF(AND(K119&lt;&gt;"",L119&lt;&gt;"",IFERROR(VLOOKUP(K119,Vehicles!$A$5:$F$60,6,FALSE()),L119)&lt;&gt;L119),"Destination differs from vehicle. ","")&amp;IF(AND(H119="Stay",OR(J119&lt;&gt;"",K119&lt;&gt;"",L119&lt;&gt;"")),"Marked Stay but has a container/vehicle/destination. ","")&amp;IF(G119="Missing","Reported missing. ","")&amp;IF(AND(P119&lt;&gt;"",N(P119)&lt;0),"Service overdue. ","")))</f>
        <v/>
      </c>
      <c r="S119" s="17" t="str">
        <f aca="false">IF(A119="","",IF(CHOOSE(MATCH(Find!$C$4,Lists!$K$2:$K$7,0),F119,E119,J119,K119,L119,G119)=Find!$C$5,MAX(S$4:S118)+1,""))</f>
        <v/>
      </c>
      <c r="T119" s="17" t="str">
        <f aca="false">IF(A119="","",IF(OR(J119=Manifest!$C$4,K119=Manifest!$C$4),MAX(T$4:T118)+1,""))</f>
        <v/>
      </c>
    </row>
    <row r="120" customFormat="false" ht="15" hidden="false" customHeight="false" outlineLevel="0" collapsed="false">
      <c r="C120" s="14"/>
      <c r="E120" s="14"/>
      <c r="F120" s="14"/>
      <c r="G120" s="14"/>
      <c r="H120" s="14"/>
      <c r="M120" s="12"/>
      <c r="O120" s="15" t="str">
        <f aca="false">IF(OR(M120="",N120=""),"",M120+N120)</f>
        <v/>
      </c>
      <c r="P120" s="16" t="str">
        <f aca="true">IF(O120="","",O120-TODAY())</f>
        <v/>
      </c>
      <c r="Q120" s="17" t="str">
        <f aca="false">IF(A120="","",TRIM(IF(E120="","No owner. ","")&amp;IF(F120="","No storage location. ","")&amp;IF(D120="","Serial missing. ","")&amp;IF(OR(H120="",H120="Undecided"),"No disposition. ","")&amp;IF(AND(H120="Ship",J120="",K120=""),"Shipping but no container/vehicle. ","")&amp;IF(AND(J120&lt;&gt;"",K120&lt;&gt;""),"In both a container and a vehicle. ","")&amp;IF(AND(H120="Ship",L120=""),"No destination. ","")&amp;IF(AND(J120&lt;&gt;"",L120&lt;&gt;"",IFERROR(VLOOKUP(J120,Containers!$A$5:$F$60,6,FALSE()),L120)&lt;&gt;L120),"Destination differs from container. ","")&amp;IF(AND(K120&lt;&gt;"",L120&lt;&gt;"",IFERROR(VLOOKUP(K120,Vehicles!$A$5:$F$60,6,FALSE()),L120)&lt;&gt;L120),"Destination differs from vehicle. ","")&amp;IF(AND(H120="Stay",OR(J120&lt;&gt;"",K120&lt;&gt;"",L120&lt;&gt;"")),"Marked Stay but has a container/vehicle/destination. ","")&amp;IF(G120="Missing","Reported missing. ","")&amp;IF(AND(P120&lt;&gt;"",N(P120)&lt;0),"Service overdue. ","")))</f>
        <v/>
      </c>
      <c r="S120" s="17" t="str">
        <f aca="false">IF(A120="","",IF(CHOOSE(MATCH(Find!$C$4,Lists!$K$2:$K$7,0),F120,E120,J120,K120,L120,G120)=Find!$C$5,MAX(S$4:S119)+1,""))</f>
        <v/>
      </c>
      <c r="T120" s="17" t="str">
        <f aca="false">IF(A120="","",IF(OR(J120=Manifest!$C$4,K120=Manifest!$C$4),MAX(T$4:T119)+1,""))</f>
        <v/>
      </c>
    </row>
    <row r="121" customFormat="false" ht="15" hidden="false" customHeight="false" outlineLevel="0" collapsed="false">
      <c r="C121" s="14"/>
      <c r="E121" s="14"/>
      <c r="F121" s="14"/>
      <c r="G121" s="14"/>
      <c r="H121" s="14"/>
      <c r="M121" s="12"/>
      <c r="O121" s="15" t="str">
        <f aca="false">IF(OR(M121="",N121=""),"",M121+N121)</f>
        <v/>
      </c>
      <c r="P121" s="16" t="str">
        <f aca="true">IF(O121="","",O121-TODAY())</f>
        <v/>
      </c>
      <c r="Q121" s="17" t="str">
        <f aca="false">IF(A121="","",TRIM(IF(E121="","No owner. ","")&amp;IF(F121="","No storage location. ","")&amp;IF(D121="","Serial missing. ","")&amp;IF(OR(H121="",H121="Undecided"),"No disposition. ","")&amp;IF(AND(H121="Ship",J121="",K121=""),"Shipping but no container/vehicle. ","")&amp;IF(AND(J121&lt;&gt;"",K121&lt;&gt;""),"In both a container and a vehicle. ","")&amp;IF(AND(H121="Ship",L121=""),"No destination. ","")&amp;IF(AND(J121&lt;&gt;"",L121&lt;&gt;"",IFERROR(VLOOKUP(J121,Containers!$A$5:$F$60,6,FALSE()),L121)&lt;&gt;L121),"Destination differs from container. ","")&amp;IF(AND(K121&lt;&gt;"",L121&lt;&gt;"",IFERROR(VLOOKUP(K121,Vehicles!$A$5:$F$60,6,FALSE()),L121)&lt;&gt;L121),"Destination differs from vehicle. ","")&amp;IF(AND(H121="Stay",OR(J121&lt;&gt;"",K121&lt;&gt;"",L121&lt;&gt;"")),"Marked Stay but has a container/vehicle/destination. ","")&amp;IF(G121="Missing","Reported missing. ","")&amp;IF(AND(P121&lt;&gt;"",N(P121)&lt;0),"Service overdue. ","")))</f>
        <v/>
      </c>
      <c r="S121" s="17" t="str">
        <f aca="false">IF(A121="","",IF(CHOOSE(MATCH(Find!$C$4,Lists!$K$2:$K$7,0),F121,E121,J121,K121,L121,G121)=Find!$C$5,MAX(S$4:S120)+1,""))</f>
        <v/>
      </c>
      <c r="T121" s="17" t="str">
        <f aca="false">IF(A121="","",IF(OR(J121=Manifest!$C$4,K121=Manifest!$C$4),MAX(T$4:T120)+1,""))</f>
        <v/>
      </c>
    </row>
    <row r="122" customFormat="false" ht="15" hidden="false" customHeight="false" outlineLevel="0" collapsed="false">
      <c r="C122" s="14"/>
      <c r="E122" s="14"/>
      <c r="F122" s="14"/>
      <c r="G122" s="14"/>
      <c r="H122" s="14"/>
      <c r="M122" s="12"/>
      <c r="O122" s="15" t="str">
        <f aca="false">IF(OR(M122="",N122=""),"",M122+N122)</f>
        <v/>
      </c>
      <c r="P122" s="16" t="str">
        <f aca="true">IF(O122="","",O122-TODAY())</f>
        <v/>
      </c>
      <c r="Q122" s="17" t="str">
        <f aca="false">IF(A122="","",TRIM(IF(E122="","No owner. ","")&amp;IF(F122="","No storage location. ","")&amp;IF(D122="","Serial missing. ","")&amp;IF(OR(H122="",H122="Undecided"),"No disposition. ","")&amp;IF(AND(H122="Ship",J122="",K122=""),"Shipping but no container/vehicle. ","")&amp;IF(AND(J122&lt;&gt;"",K122&lt;&gt;""),"In both a container and a vehicle. ","")&amp;IF(AND(H122="Ship",L122=""),"No destination. ","")&amp;IF(AND(J122&lt;&gt;"",L122&lt;&gt;"",IFERROR(VLOOKUP(J122,Containers!$A$5:$F$60,6,FALSE()),L122)&lt;&gt;L122),"Destination differs from container. ","")&amp;IF(AND(K122&lt;&gt;"",L122&lt;&gt;"",IFERROR(VLOOKUP(K122,Vehicles!$A$5:$F$60,6,FALSE()),L122)&lt;&gt;L122),"Destination differs from vehicle. ","")&amp;IF(AND(H122="Stay",OR(J122&lt;&gt;"",K122&lt;&gt;"",L122&lt;&gt;"")),"Marked Stay but has a container/vehicle/destination. ","")&amp;IF(G122="Missing","Reported missing. ","")&amp;IF(AND(P122&lt;&gt;"",N(P122)&lt;0),"Service overdue. ","")))</f>
        <v/>
      </c>
      <c r="S122" s="17" t="str">
        <f aca="false">IF(A122="","",IF(CHOOSE(MATCH(Find!$C$4,Lists!$K$2:$K$7,0),F122,E122,J122,K122,L122,G122)=Find!$C$5,MAX(S$4:S121)+1,""))</f>
        <v/>
      </c>
      <c r="T122" s="17" t="str">
        <f aca="false">IF(A122="","",IF(OR(J122=Manifest!$C$4,K122=Manifest!$C$4),MAX(T$4:T121)+1,""))</f>
        <v/>
      </c>
    </row>
    <row r="123" customFormat="false" ht="15" hidden="false" customHeight="false" outlineLevel="0" collapsed="false">
      <c r="C123" s="14"/>
      <c r="E123" s="14"/>
      <c r="F123" s="14"/>
      <c r="G123" s="14"/>
      <c r="H123" s="14"/>
      <c r="M123" s="12"/>
      <c r="O123" s="15" t="str">
        <f aca="false">IF(OR(M123="",N123=""),"",M123+N123)</f>
        <v/>
      </c>
      <c r="P123" s="16" t="str">
        <f aca="true">IF(O123="","",O123-TODAY())</f>
        <v/>
      </c>
      <c r="Q123" s="17" t="str">
        <f aca="false">IF(A123="","",TRIM(IF(E123="","No owner. ","")&amp;IF(F123="","No storage location. ","")&amp;IF(D123="","Serial missing. ","")&amp;IF(OR(H123="",H123="Undecided"),"No disposition. ","")&amp;IF(AND(H123="Ship",J123="",K123=""),"Shipping but no container/vehicle. ","")&amp;IF(AND(J123&lt;&gt;"",K123&lt;&gt;""),"In both a container and a vehicle. ","")&amp;IF(AND(H123="Ship",L123=""),"No destination. ","")&amp;IF(AND(J123&lt;&gt;"",L123&lt;&gt;"",IFERROR(VLOOKUP(J123,Containers!$A$5:$F$60,6,FALSE()),L123)&lt;&gt;L123),"Destination differs from container. ","")&amp;IF(AND(K123&lt;&gt;"",L123&lt;&gt;"",IFERROR(VLOOKUP(K123,Vehicles!$A$5:$F$60,6,FALSE()),L123)&lt;&gt;L123),"Destination differs from vehicle. ","")&amp;IF(AND(H123="Stay",OR(J123&lt;&gt;"",K123&lt;&gt;"",L123&lt;&gt;"")),"Marked Stay but has a container/vehicle/destination. ","")&amp;IF(G123="Missing","Reported missing. ","")&amp;IF(AND(P123&lt;&gt;"",N(P123)&lt;0),"Service overdue. ","")))</f>
        <v/>
      </c>
      <c r="S123" s="17" t="str">
        <f aca="false">IF(A123="","",IF(CHOOSE(MATCH(Find!$C$4,Lists!$K$2:$K$7,0),F123,E123,J123,K123,L123,G123)=Find!$C$5,MAX(S$4:S122)+1,""))</f>
        <v/>
      </c>
      <c r="T123" s="17" t="str">
        <f aca="false">IF(A123="","",IF(OR(J123=Manifest!$C$4,K123=Manifest!$C$4),MAX(T$4:T122)+1,""))</f>
        <v/>
      </c>
    </row>
    <row r="124" customFormat="false" ht="15" hidden="false" customHeight="false" outlineLevel="0" collapsed="false">
      <c r="C124" s="14"/>
      <c r="E124" s="14"/>
      <c r="F124" s="14"/>
      <c r="G124" s="14"/>
      <c r="H124" s="14"/>
      <c r="M124" s="12"/>
      <c r="O124" s="15" t="str">
        <f aca="false">IF(OR(M124="",N124=""),"",M124+N124)</f>
        <v/>
      </c>
      <c r="P124" s="16" t="str">
        <f aca="true">IF(O124="","",O124-TODAY())</f>
        <v/>
      </c>
      <c r="Q124" s="17" t="str">
        <f aca="false">IF(A124="","",TRIM(IF(E124="","No owner. ","")&amp;IF(F124="","No storage location. ","")&amp;IF(D124="","Serial missing. ","")&amp;IF(OR(H124="",H124="Undecided"),"No disposition. ","")&amp;IF(AND(H124="Ship",J124="",K124=""),"Shipping but no container/vehicle. ","")&amp;IF(AND(J124&lt;&gt;"",K124&lt;&gt;""),"In both a container and a vehicle. ","")&amp;IF(AND(H124="Ship",L124=""),"No destination. ","")&amp;IF(AND(J124&lt;&gt;"",L124&lt;&gt;"",IFERROR(VLOOKUP(J124,Containers!$A$5:$F$60,6,FALSE()),L124)&lt;&gt;L124),"Destination differs from container. ","")&amp;IF(AND(K124&lt;&gt;"",L124&lt;&gt;"",IFERROR(VLOOKUP(K124,Vehicles!$A$5:$F$60,6,FALSE()),L124)&lt;&gt;L124),"Destination differs from vehicle. ","")&amp;IF(AND(H124="Stay",OR(J124&lt;&gt;"",K124&lt;&gt;"",L124&lt;&gt;"")),"Marked Stay but has a container/vehicle/destination. ","")&amp;IF(G124="Missing","Reported missing. ","")&amp;IF(AND(P124&lt;&gt;"",N(P124)&lt;0),"Service overdue. ","")))</f>
        <v/>
      </c>
      <c r="S124" s="17" t="str">
        <f aca="false">IF(A124="","",IF(CHOOSE(MATCH(Find!$C$4,Lists!$K$2:$K$7,0),F124,E124,J124,K124,L124,G124)=Find!$C$5,MAX(S$4:S123)+1,""))</f>
        <v/>
      </c>
      <c r="T124" s="17" t="str">
        <f aca="false">IF(A124="","",IF(OR(J124=Manifest!$C$4,K124=Manifest!$C$4),MAX(T$4:T123)+1,""))</f>
        <v/>
      </c>
    </row>
    <row r="125" customFormat="false" ht="15" hidden="false" customHeight="false" outlineLevel="0" collapsed="false">
      <c r="C125" s="14"/>
      <c r="E125" s="14"/>
      <c r="F125" s="14"/>
      <c r="G125" s="14"/>
      <c r="H125" s="14"/>
      <c r="M125" s="12"/>
      <c r="O125" s="15" t="str">
        <f aca="false">IF(OR(M125="",N125=""),"",M125+N125)</f>
        <v/>
      </c>
      <c r="P125" s="16" t="str">
        <f aca="true">IF(O125="","",O125-TODAY())</f>
        <v/>
      </c>
      <c r="Q125" s="17" t="str">
        <f aca="false">IF(A125="","",TRIM(IF(E125="","No owner. ","")&amp;IF(F125="","No storage location. ","")&amp;IF(D125="","Serial missing. ","")&amp;IF(OR(H125="",H125="Undecided"),"No disposition. ","")&amp;IF(AND(H125="Ship",J125="",K125=""),"Shipping but no container/vehicle. ","")&amp;IF(AND(J125&lt;&gt;"",K125&lt;&gt;""),"In both a container and a vehicle. ","")&amp;IF(AND(H125="Ship",L125=""),"No destination. ","")&amp;IF(AND(J125&lt;&gt;"",L125&lt;&gt;"",IFERROR(VLOOKUP(J125,Containers!$A$5:$F$60,6,FALSE()),L125)&lt;&gt;L125),"Destination differs from container. ","")&amp;IF(AND(K125&lt;&gt;"",L125&lt;&gt;"",IFERROR(VLOOKUP(K125,Vehicles!$A$5:$F$60,6,FALSE()),L125)&lt;&gt;L125),"Destination differs from vehicle. ","")&amp;IF(AND(H125="Stay",OR(J125&lt;&gt;"",K125&lt;&gt;"",L125&lt;&gt;"")),"Marked Stay but has a container/vehicle/destination. ","")&amp;IF(G125="Missing","Reported missing. ","")&amp;IF(AND(P125&lt;&gt;"",N(P125)&lt;0),"Service overdue. ","")))</f>
        <v/>
      </c>
      <c r="S125" s="17" t="str">
        <f aca="false">IF(A125="","",IF(CHOOSE(MATCH(Find!$C$4,Lists!$K$2:$K$7,0),F125,E125,J125,K125,L125,G125)=Find!$C$5,MAX(S$4:S124)+1,""))</f>
        <v/>
      </c>
      <c r="T125" s="17" t="str">
        <f aca="false">IF(A125="","",IF(OR(J125=Manifest!$C$4,K125=Manifest!$C$4),MAX(T$4:T124)+1,""))</f>
        <v/>
      </c>
    </row>
    <row r="126" customFormat="false" ht="15" hidden="false" customHeight="false" outlineLevel="0" collapsed="false">
      <c r="C126" s="14"/>
      <c r="E126" s="14"/>
      <c r="F126" s="14"/>
      <c r="G126" s="14"/>
      <c r="H126" s="14"/>
      <c r="M126" s="12"/>
      <c r="O126" s="15" t="str">
        <f aca="false">IF(OR(M126="",N126=""),"",M126+N126)</f>
        <v/>
      </c>
      <c r="P126" s="16" t="str">
        <f aca="true">IF(O126="","",O126-TODAY())</f>
        <v/>
      </c>
      <c r="Q126" s="17" t="str">
        <f aca="false">IF(A126="","",TRIM(IF(E126="","No owner. ","")&amp;IF(F126="","No storage location. ","")&amp;IF(D126="","Serial missing. ","")&amp;IF(OR(H126="",H126="Undecided"),"No disposition. ","")&amp;IF(AND(H126="Ship",J126="",K126=""),"Shipping but no container/vehicle. ","")&amp;IF(AND(J126&lt;&gt;"",K126&lt;&gt;""),"In both a container and a vehicle. ","")&amp;IF(AND(H126="Ship",L126=""),"No destination. ","")&amp;IF(AND(J126&lt;&gt;"",L126&lt;&gt;"",IFERROR(VLOOKUP(J126,Containers!$A$5:$F$60,6,FALSE()),L126)&lt;&gt;L126),"Destination differs from container. ","")&amp;IF(AND(K126&lt;&gt;"",L126&lt;&gt;"",IFERROR(VLOOKUP(K126,Vehicles!$A$5:$F$60,6,FALSE()),L126)&lt;&gt;L126),"Destination differs from vehicle. ","")&amp;IF(AND(H126="Stay",OR(J126&lt;&gt;"",K126&lt;&gt;"",L126&lt;&gt;"")),"Marked Stay but has a container/vehicle/destination. ","")&amp;IF(G126="Missing","Reported missing. ","")&amp;IF(AND(P126&lt;&gt;"",N(P126)&lt;0),"Service overdue. ","")))</f>
        <v/>
      </c>
      <c r="S126" s="17" t="str">
        <f aca="false">IF(A126="","",IF(CHOOSE(MATCH(Find!$C$4,Lists!$K$2:$K$7,0),F126,E126,J126,K126,L126,G126)=Find!$C$5,MAX(S$4:S125)+1,""))</f>
        <v/>
      </c>
      <c r="T126" s="17" t="str">
        <f aca="false">IF(A126="","",IF(OR(J126=Manifest!$C$4,K126=Manifest!$C$4),MAX(T$4:T125)+1,""))</f>
        <v/>
      </c>
    </row>
    <row r="127" customFormat="false" ht="15" hidden="false" customHeight="false" outlineLevel="0" collapsed="false">
      <c r="C127" s="14"/>
      <c r="E127" s="14"/>
      <c r="F127" s="14"/>
      <c r="G127" s="14"/>
      <c r="H127" s="14"/>
      <c r="M127" s="12"/>
      <c r="O127" s="15" t="str">
        <f aca="false">IF(OR(M127="",N127=""),"",M127+N127)</f>
        <v/>
      </c>
      <c r="P127" s="16" t="str">
        <f aca="true">IF(O127="","",O127-TODAY())</f>
        <v/>
      </c>
      <c r="Q127" s="17" t="str">
        <f aca="false">IF(A127="","",TRIM(IF(E127="","No owner. ","")&amp;IF(F127="","No storage location. ","")&amp;IF(D127="","Serial missing. ","")&amp;IF(OR(H127="",H127="Undecided"),"No disposition. ","")&amp;IF(AND(H127="Ship",J127="",K127=""),"Shipping but no container/vehicle. ","")&amp;IF(AND(J127&lt;&gt;"",K127&lt;&gt;""),"In both a container and a vehicle. ","")&amp;IF(AND(H127="Ship",L127=""),"No destination. ","")&amp;IF(AND(J127&lt;&gt;"",L127&lt;&gt;"",IFERROR(VLOOKUP(J127,Containers!$A$5:$F$60,6,FALSE()),L127)&lt;&gt;L127),"Destination differs from container. ","")&amp;IF(AND(K127&lt;&gt;"",L127&lt;&gt;"",IFERROR(VLOOKUP(K127,Vehicles!$A$5:$F$60,6,FALSE()),L127)&lt;&gt;L127),"Destination differs from vehicle. ","")&amp;IF(AND(H127="Stay",OR(J127&lt;&gt;"",K127&lt;&gt;"",L127&lt;&gt;"")),"Marked Stay but has a container/vehicle/destination. ","")&amp;IF(G127="Missing","Reported missing. ","")&amp;IF(AND(P127&lt;&gt;"",N(P127)&lt;0),"Service overdue. ","")))</f>
        <v/>
      </c>
      <c r="S127" s="17" t="str">
        <f aca="false">IF(A127="","",IF(CHOOSE(MATCH(Find!$C$4,Lists!$K$2:$K$7,0),F127,E127,J127,K127,L127,G127)=Find!$C$5,MAX(S$4:S126)+1,""))</f>
        <v/>
      </c>
      <c r="T127" s="17" t="str">
        <f aca="false">IF(A127="","",IF(OR(J127=Manifest!$C$4,K127=Manifest!$C$4),MAX(T$4:T126)+1,""))</f>
        <v/>
      </c>
    </row>
    <row r="128" customFormat="false" ht="15" hidden="false" customHeight="false" outlineLevel="0" collapsed="false">
      <c r="C128" s="14"/>
      <c r="E128" s="14"/>
      <c r="F128" s="14"/>
      <c r="G128" s="14"/>
      <c r="H128" s="14"/>
      <c r="M128" s="12"/>
      <c r="O128" s="15" t="str">
        <f aca="false">IF(OR(M128="",N128=""),"",M128+N128)</f>
        <v/>
      </c>
      <c r="P128" s="16" t="str">
        <f aca="true">IF(O128="","",O128-TODAY())</f>
        <v/>
      </c>
      <c r="Q128" s="17" t="str">
        <f aca="false">IF(A128="","",TRIM(IF(E128="","No owner. ","")&amp;IF(F128="","No storage location. ","")&amp;IF(D128="","Serial missing. ","")&amp;IF(OR(H128="",H128="Undecided"),"No disposition. ","")&amp;IF(AND(H128="Ship",J128="",K128=""),"Shipping but no container/vehicle. ","")&amp;IF(AND(J128&lt;&gt;"",K128&lt;&gt;""),"In both a container and a vehicle. ","")&amp;IF(AND(H128="Ship",L128=""),"No destination. ","")&amp;IF(AND(J128&lt;&gt;"",L128&lt;&gt;"",IFERROR(VLOOKUP(J128,Containers!$A$5:$F$60,6,FALSE()),L128)&lt;&gt;L128),"Destination differs from container. ","")&amp;IF(AND(K128&lt;&gt;"",L128&lt;&gt;"",IFERROR(VLOOKUP(K128,Vehicles!$A$5:$F$60,6,FALSE()),L128)&lt;&gt;L128),"Destination differs from vehicle. ","")&amp;IF(AND(H128="Stay",OR(J128&lt;&gt;"",K128&lt;&gt;"",L128&lt;&gt;"")),"Marked Stay but has a container/vehicle/destination. ","")&amp;IF(G128="Missing","Reported missing. ","")&amp;IF(AND(P128&lt;&gt;"",N(P128)&lt;0),"Service overdue. ","")))</f>
        <v/>
      </c>
      <c r="S128" s="17" t="str">
        <f aca="false">IF(A128="","",IF(CHOOSE(MATCH(Find!$C$4,Lists!$K$2:$K$7,0),F128,E128,J128,K128,L128,G128)=Find!$C$5,MAX(S$4:S127)+1,""))</f>
        <v/>
      </c>
      <c r="T128" s="17" t="str">
        <f aca="false">IF(A128="","",IF(OR(J128=Manifest!$C$4,K128=Manifest!$C$4),MAX(T$4:T127)+1,""))</f>
        <v/>
      </c>
    </row>
    <row r="129" customFormat="false" ht="15" hidden="false" customHeight="false" outlineLevel="0" collapsed="false">
      <c r="C129" s="14"/>
      <c r="E129" s="14"/>
      <c r="F129" s="14"/>
      <c r="G129" s="14"/>
      <c r="H129" s="14"/>
      <c r="M129" s="12"/>
      <c r="O129" s="15" t="str">
        <f aca="false">IF(OR(M129="",N129=""),"",M129+N129)</f>
        <v/>
      </c>
      <c r="P129" s="16" t="str">
        <f aca="true">IF(O129="","",O129-TODAY())</f>
        <v/>
      </c>
      <c r="Q129" s="17" t="str">
        <f aca="false">IF(A129="","",TRIM(IF(E129="","No owner. ","")&amp;IF(F129="","No storage location. ","")&amp;IF(D129="","Serial missing. ","")&amp;IF(OR(H129="",H129="Undecided"),"No disposition. ","")&amp;IF(AND(H129="Ship",J129="",K129=""),"Shipping but no container/vehicle. ","")&amp;IF(AND(J129&lt;&gt;"",K129&lt;&gt;""),"In both a container and a vehicle. ","")&amp;IF(AND(H129="Ship",L129=""),"No destination. ","")&amp;IF(AND(J129&lt;&gt;"",L129&lt;&gt;"",IFERROR(VLOOKUP(J129,Containers!$A$5:$F$60,6,FALSE()),L129)&lt;&gt;L129),"Destination differs from container. ","")&amp;IF(AND(K129&lt;&gt;"",L129&lt;&gt;"",IFERROR(VLOOKUP(K129,Vehicles!$A$5:$F$60,6,FALSE()),L129)&lt;&gt;L129),"Destination differs from vehicle. ","")&amp;IF(AND(H129="Stay",OR(J129&lt;&gt;"",K129&lt;&gt;"",L129&lt;&gt;"")),"Marked Stay but has a container/vehicle/destination. ","")&amp;IF(G129="Missing","Reported missing. ","")&amp;IF(AND(P129&lt;&gt;"",N(P129)&lt;0),"Service overdue. ","")))</f>
        <v/>
      </c>
      <c r="S129" s="17" t="str">
        <f aca="false">IF(A129="","",IF(CHOOSE(MATCH(Find!$C$4,Lists!$K$2:$K$7,0),F129,E129,J129,K129,L129,G129)=Find!$C$5,MAX(S$4:S128)+1,""))</f>
        <v/>
      </c>
      <c r="T129" s="17" t="str">
        <f aca="false">IF(A129="","",IF(OR(J129=Manifest!$C$4,K129=Manifest!$C$4),MAX(T$4:T128)+1,""))</f>
        <v/>
      </c>
    </row>
    <row r="130" customFormat="false" ht="15" hidden="false" customHeight="false" outlineLevel="0" collapsed="false">
      <c r="C130" s="14"/>
      <c r="E130" s="14"/>
      <c r="F130" s="14"/>
      <c r="G130" s="14"/>
      <c r="H130" s="14"/>
      <c r="M130" s="12"/>
      <c r="O130" s="15" t="str">
        <f aca="false">IF(OR(M130="",N130=""),"",M130+N130)</f>
        <v/>
      </c>
      <c r="P130" s="16" t="str">
        <f aca="true">IF(O130="","",O130-TODAY())</f>
        <v/>
      </c>
      <c r="Q130" s="17" t="str">
        <f aca="false">IF(A130="","",TRIM(IF(E130="","No owner. ","")&amp;IF(F130="","No storage location. ","")&amp;IF(D130="","Serial missing. ","")&amp;IF(OR(H130="",H130="Undecided"),"No disposition. ","")&amp;IF(AND(H130="Ship",J130="",K130=""),"Shipping but no container/vehicle. ","")&amp;IF(AND(J130&lt;&gt;"",K130&lt;&gt;""),"In both a container and a vehicle. ","")&amp;IF(AND(H130="Ship",L130=""),"No destination. ","")&amp;IF(AND(J130&lt;&gt;"",L130&lt;&gt;"",IFERROR(VLOOKUP(J130,Containers!$A$5:$F$60,6,FALSE()),L130)&lt;&gt;L130),"Destination differs from container. ","")&amp;IF(AND(K130&lt;&gt;"",L130&lt;&gt;"",IFERROR(VLOOKUP(K130,Vehicles!$A$5:$F$60,6,FALSE()),L130)&lt;&gt;L130),"Destination differs from vehicle. ","")&amp;IF(AND(H130="Stay",OR(J130&lt;&gt;"",K130&lt;&gt;"",L130&lt;&gt;"")),"Marked Stay but has a container/vehicle/destination. ","")&amp;IF(G130="Missing","Reported missing. ","")&amp;IF(AND(P130&lt;&gt;"",N(P130)&lt;0),"Service overdue. ","")))</f>
        <v/>
      </c>
      <c r="S130" s="17" t="str">
        <f aca="false">IF(A130="","",IF(CHOOSE(MATCH(Find!$C$4,Lists!$K$2:$K$7,0),F130,E130,J130,K130,L130,G130)=Find!$C$5,MAX(S$4:S129)+1,""))</f>
        <v/>
      </c>
      <c r="T130" s="17" t="str">
        <f aca="false">IF(A130="","",IF(OR(J130=Manifest!$C$4,K130=Manifest!$C$4),MAX(T$4:T129)+1,""))</f>
        <v/>
      </c>
    </row>
    <row r="131" customFormat="false" ht="15" hidden="false" customHeight="false" outlineLevel="0" collapsed="false">
      <c r="C131" s="14"/>
      <c r="E131" s="14"/>
      <c r="F131" s="14"/>
      <c r="G131" s="14"/>
      <c r="H131" s="14"/>
      <c r="M131" s="12"/>
      <c r="O131" s="15" t="str">
        <f aca="false">IF(OR(M131="",N131=""),"",M131+N131)</f>
        <v/>
      </c>
      <c r="P131" s="16" t="str">
        <f aca="true">IF(O131="","",O131-TODAY())</f>
        <v/>
      </c>
      <c r="Q131" s="17" t="str">
        <f aca="false">IF(A131="","",TRIM(IF(E131="","No owner. ","")&amp;IF(F131="","No storage location. ","")&amp;IF(D131="","Serial missing. ","")&amp;IF(OR(H131="",H131="Undecided"),"No disposition. ","")&amp;IF(AND(H131="Ship",J131="",K131=""),"Shipping but no container/vehicle. ","")&amp;IF(AND(J131&lt;&gt;"",K131&lt;&gt;""),"In both a container and a vehicle. ","")&amp;IF(AND(H131="Ship",L131=""),"No destination. ","")&amp;IF(AND(J131&lt;&gt;"",L131&lt;&gt;"",IFERROR(VLOOKUP(J131,Containers!$A$5:$F$60,6,FALSE()),L131)&lt;&gt;L131),"Destination differs from container. ","")&amp;IF(AND(K131&lt;&gt;"",L131&lt;&gt;"",IFERROR(VLOOKUP(K131,Vehicles!$A$5:$F$60,6,FALSE()),L131)&lt;&gt;L131),"Destination differs from vehicle. ","")&amp;IF(AND(H131="Stay",OR(J131&lt;&gt;"",K131&lt;&gt;"",L131&lt;&gt;"")),"Marked Stay but has a container/vehicle/destination. ","")&amp;IF(G131="Missing","Reported missing. ","")&amp;IF(AND(P131&lt;&gt;"",N(P131)&lt;0),"Service overdue. ","")))</f>
        <v/>
      </c>
      <c r="S131" s="17" t="str">
        <f aca="false">IF(A131="","",IF(CHOOSE(MATCH(Find!$C$4,Lists!$K$2:$K$7,0),F131,E131,J131,K131,L131,G131)=Find!$C$5,MAX(S$4:S130)+1,""))</f>
        <v/>
      </c>
      <c r="T131" s="17" t="str">
        <f aca="false">IF(A131="","",IF(OR(J131=Manifest!$C$4,K131=Manifest!$C$4),MAX(T$4:T130)+1,""))</f>
        <v/>
      </c>
    </row>
    <row r="132" customFormat="false" ht="15" hidden="false" customHeight="false" outlineLevel="0" collapsed="false">
      <c r="C132" s="14"/>
      <c r="E132" s="14"/>
      <c r="F132" s="14"/>
      <c r="G132" s="14"/>
      <c r="H132" s="14"/>
      <c r="M132" s="12"/>
      <c r="O132" s="15" t="str">
        <f aca="false">IF(OR(M132="",N132=""),"",M132+N132)</f>
        <v/>
      </c>
      <c r="P132" s="16" t="str">
        <f aca="true">IF(O132="","",O132-TODAY())</f>
        <v/>
      </c>
      <c r="Q132" s="17" t="str">
        <f aca="false">IF(A132="","",TRIM(IF(E132="","No owner. ","")&amp;IF(F132="","No storage location. ","")&amp;IF(D132="","Serial missing. ","")&amp;IF(OR(H132="",H132="Undecided"),"No disposition. ","")&amp;IF(AND(H132="Ship",J132="",K132=""),"Shipping but no container/vehicle. ","")&amp;IF(AND(J132&lt;&gt;"",K132&lt;&gt;""),"In both a container and a vehicle. ","")&amp;IF(AND(H132="Ship",L132=""),"No destination. ","")&amp;IF(AND(J132&lt;&gt;"",L132&lt;&gt;"",IFERROR(VLOOKUP(J132,Containers!$A$5:$F$60,6,FALSE()),L132)&lt;&gt;L132),"Destination differs from container. ","")&amp;IF(AND(K132&lt;&gt;"",L132&lt;&gt;"",IFERROR(VLOOKUP(K132,Vehicles!$A$5:$F$60,6,FALSE()),L132)&lt;&gt;L132),"Destination differs from vehicle. ","")&amp;IF(AND(H132="Stay",OR(J132&lt;&gt;"",K132&lt;&gt;"",L132&lt;&gt;"")),"Marked Stay but has a container/vehicle/destination. ","")&amp;IF(G132="Missing","Reported missing. ","")&amp;IF(AND(P132&lt;&gt;"",N(P132)&lt;0),"Service overdue. ","")))</f>
        <v/>
      </c>
      <c r="S132" s="17" t="str">
        <f aca="false">IF(A132="","",IF(CHOOSE(MATCH(Find!$C$4,Lists!$K$2:$K$7,0),F132,E132,J132,K132,L132,G132)=Find!$C$5,MAX(S$4:S131)+1,""))</f>
        <v/>
      </c>
      <c r="T132" s="17" t="str">
        <f aca="false">IF(A132="","",IF(OR(J132=Manifest!$C$4,K132=Manifest!$C$4),MAX(T$4:T131)+1,""))</f>
        <v/>
      </c>
    </row>
    <row r="133" customFormat="false" ht="15" hidden="false" customHeight="false" outlineLevel="0" collapsed="false">
      <c r="C133" s="14"/>
      <c r="E133" s="14"/>
      <c r="F133" s="14"/>
      <c r="G133" s="14"/>
      <c r="H133" s="14"/>
      <c r="M133" s="12"/>
      <c r="O133" s="15" t="str">
        <f aca="false">IF(OR(M133="",N133=""),"",M133+N133)</f>
        <v/>
      </c>
      <c r="P133" s="16" t="str">
        <f aca="true">IF(O133="","",O133-TODAY())</f>
        <v/>
      </c>
      <c r="Q133" s="17" t="str">
        <f aca="false">IF(A133="","",TRIM(IF(E133="","No owner. ","")&amp;IF(F133="","No storage location. ","")&amp;IF(D133="","Serial missing. ","")&amp;IF(OR(H133="",H133="Undecided"),"No disposition. ","")&amp;IF(AND(H133="Ship",J133="",K133=""),"Shipping but no container/vehicle. ","")&amp;IF(AND(J133&lt;&gt;"",K133&lt;&gt;""),"In both a container and a vehicle. ","")&amp;IF(AND(H133="Ship",L133=""),"No destination. ","")&amp;IF(AND(J133&lt;&gt;"",L133&lt;&gt;"",IFERROR(VLOOKUP(J133,Containers!$A$5:$F$60,6,FALSE()),L133)&lt;&gt;L133),"Destination differs from container. ","")&amp;IF(AND(K133&lt;&gt;"",L133&lt;&gt;"",IFERROR(VLOOKUP(K133,Vehicles!$A$5:$F$60,6,FALSE()),L133)&lt;&gt;L133),"Destination differs from vehicle. ","")&amp;IF(AND(H133="Stay",OR(J133&lt;&gt;"",K133&lt;&gt;"",L133&lt;&gt;"")),"Marked Stay but has a container/vehicle/destination. ","")&amp;IF(G133="Missing","Reported missing. ","")&amp;IF(AND(P133&lt;&gt;"",N(P133)&lt;0),"Service overdue. ","")))</f>
        <v/>
      </c>
      <c r="S133" s="17" t="str">
        <f aca="false">IF(A133="","",IF(CHOOSE(MATCH(Find!$C$4,Lists!$K$2:$K$7,0),F133,E133,J133,K133,L133,G133)=Find!$C$5,MAX(S$4:S132)+1,""))</f>
        <v/>
      </c>
      <c r="T133" s="17" t="str">
        <f aca="false">IF(A133="","",IF(OR(J133=Manifest!$C$4,K133=Manifest!$C$4),MAX(T$4:T132)+1,""))</f>
        <v/>
      </c>
    </row>
    <row r="134" customFormat="false" ht="15" hidden="false" customHeight="false" outlineLevel="0" collapsed="false">
      <c r="C134" s="14"/>
      <c r="E134" s="14"/>
      <c r="F134" s="14"/>
      <c r="G134" s="14"/>
      <c r="H134" s="14"/>
      <c r="M134" s="12"/>
      <c r="O134" s="15" t="str">
        <f aca="false">IF(OR(M134="",N134=""),"",M134+N134)</f>
        <v/>
      </c>
      <c r="P134" s="16" t="str">
        <f aca="true">IF(O134="","",O134-TODAY())</f>
        <v/>
      </c>
      <c r="Q134" s="17" t="str">
        <f aca="false">IF(A134="","",TRIM(IF(E134="","No owner. ","")&amp;IF(F134="","No storage location. ","")&amp;IF(D134="","Serial missing. ","")&amp;IF(OR(H134="",H134="Undecided"),"No disposition. ","")&amp;IF(AND(H134="Ship",J134="",K134=""),"Shipping but no container/vehicle. ","")&amp;IF(AND(J134&lt;&gt;"",K134&lt;&gt;""),"In both a container and a vehicle. ","")&amp;IF(AND(H134="Ship",L134=""),"No destination. ","")&amp;IF(AND(J134&lt;&gt;"",L134&lt;&gt;"",IFERROR(VLOOKUP(J134,Containers!$A$5:$F$60,6,FALSE()),L134)&lt;&gt;L134),"Destination differs from container. ","")&amp;IF(AND(K134&lt;&gt;"",L134&lt;&gt;"",IFERROR(VLOOKUP(K134,Vehicles!$A$5:$F$60,6,FALSE()),L134)&lt;&gt;L134),"Destination differs from vehicle. ","")&amp;IF(AND(H134="Stay",OR(J134&lt;&gt;"",K134&lt;&gt;"",L134&lt;&gt;"")),"Marked Stay but has a container/vehicle/destination. ","")&amp;IF(G134="Missing","Reported missing. ","")&amp;IF(AND(P134&lt;&gt;"",N(P134)&lt;0),"Service overdue. ","")))</f>
        <v/>
      </c>
      <c r="S134" s="17" t="str">
        <f aca="false">IF(A134="","",IF(CHOOSE(MATCH(Find!$C$4,Lists!$K$2:$K$7,0),F134,E134,J134,K134,L134,G134)=Find!$C$5,MAX(S$4:S133)+1,""))</f>
        <v/>
      </c>
      <c r="T134" s="17" t="str">
        <f aca="false">IF(A134="","",IF(OR(J134=Manifest!$C$4,K134=Manifest!$C$4),MAX(T$4:T133)+1,""))</f>
        <v/>
      </c>
    </row>
    <row r="135" customFormat="false" ht="15" hidden="false" customHeight="false" outlineLevel="0" collapsed="false">
      <c r="C135" s="14"/>
      <c r="E135" s="14"/>
      <c r="F135" s="14"/>
      <c r="G135" s="14"/>
      <c r="H135" s="14"/>
      <c r="M135" s="12"/>
      <c r="O135" s="15" t="str">
        <f aca="false">IF(OR(M135="",N135=""),"",M135+N135)</f>
        <v/>
      </c>
      <c r="P135" s="16" t="str">
        <f aca="true">IF(O135="","",O135-TODAY())</f>
        <v/>
      </c>
      <c r="Q135" s="17" t="str">
        <f aca="false">IF(A135="","",TRIM(IF(E135="","No owner. ","")&amp;IF(F135="","No storage location. ","")&amp;IF(D135="","Serial missing. ","")&amp;IF(OR(H135="",H135="Undecided"),"No disposition. ","")&amp;IF(AND(H135="Ship",J135="",K135=""),"Shipping but no container/vehicle. ","")&amp;IF(AND(J135&lt;&gt;"",K135&lt;&gt;""),"In both a container and a vehicle. ","")&amp;IF(AND(H135="Ship",L135=""),"No destination. ","")&amp;IF(AND(J135&lt;&gt;"",L135&lt;&gt;"",IFERROR(VLOOKUP(J135,Containers!$A$5:$F$60,6,FALSE()),L135)&lt;&gt;L135),"Destination differs from container. ","")&amp;IF(AND(K135&lt;&gt;"",L135&lt;&gt;"",IFERROR(VLOOKUP(K135,Vehicles!$A$5:$F$60,6,FALSE()),L135)&lt;&gt;L135),"Destination differs from vehicle. ","")&amp;IF(AND(H135="Stay",OR(J135&lt;&gt;"",K135&lt;&gt;"",L135&lt;&gt;"")),"Marked Stay but has a container/vehicle/destination. ","")&amp;IF(G135="Missing","Reported missing. ","")&amp;IF(AND(P135&lt;&gt;"",N(P135)&lt;0),"Service overdue. ","")))</f>
        <v/>
      </c>
      <c r="S135" s="17" t="str">
        <f aca="false">IF(A135="","",IF(CHOOSE(MATCH(Find!$C$4,Lists!$K$2:$K$7,0),F135,E135,J135,K135,L135,G135)=Find!$C$5,MAX(S$4:S134)+1,""))</f>
        <v/>
      </c>
      <c r="T135" s="17" t="str">
        <f aca="false">IF(A135="","",IF(OR(J135=Manifest!$C$4,K135=Manifest!$C$4),MAX(T$4:T134)+1,""))</f>
        <v/>
      </c>
    </row>
    <row r="136" customFormat="false" ht="15" hidden="false" customHeight="false" outlineLevel="0" collapsed="false">
      <c r="C136" s="14"/>
      <c r="E136" s="14"/>
      <c r="F136" s="14"/>
      <c r="G136" s="14"/>
      <c r="H136" s="14"/>
      <c r="M136" s="12"/>
      <c r="O136" s="15" t="str">
        <f aca="false">IF(OR(M136="",N136=""),"",M136+N136)</f>
        <v/>
      </c>
      <c r="P136" s="16" t="str">
        <f aca="true">IF(O136="","",O136-TODAY())</f>
        <v/>
      </c>
      <c r="Q136" s="17" t="str">
        <f aca="false">IF(A136="","",TRIM(IF(E136="","No owner. ","")&amp;IF(F136="","No storage location. ","")&amp;IF(D136="","Serial missing. ","")&amp;IF(OR(H136="",H136="Undecided"),"No disposition. ","")&amp;IF(AND(H136="Ship",J136="",K136=""),"Shipping but no container/vehicle. ","")&amp;IF(AND(J136&lt;&gt;"",K136&lt;&gt;""),"In both a container and a vehicle. ","")&amp;IF(AND(H136="Ship",L136=""),"No destination. ","")&amp;IF(AND(J136&lt;&gt;"",L136&lt;&gt;"",IFERROR(VLOOKUP(J136,Containers!$A$5:$F$60,6,FALSE()),L136)&lt;&gt;L136),"Destination differs from container. ","")&amp;IF(AND(K136&lt;&gt;"",L136&lt;&gt;"",IFERROR(VLOOKUP(K136,Vehicles!$A$5:$F$60,6,FALSE()),L136)&lt;&gt;L136),"Destination differs from vehicle. ","")&amp;IF(AND(H136="Stay",OR(J136&lt;&gt;"",K136&lt;&gt;"",L136&lt;&gt;"")),"Marked Stay but has a container/vehicle/destination. ","")&amp;IF(G136="Missing","Reported missing. ","")&amp;IF(AND(P136&lt;&gt;"",N(P136)&lt;0),"Service overdue. ","")))</f>
        <v/>
      </c>
      <c r="S136" s="17" t="str">
        <f aca="false">IF(A136="","",IF(CHOOSE(MATCH(Find!$C$4,Lists!$K$2:$K$7,0),F136,E136,J136,K136,L136,G136)=Find!$C$5,MAX(S$4:S135)+1,""))</f>
        <v/>
      </c>
      <c r="T136" s="17" t="str">
        <f aca="false">IF(A136="","",IF(OR(J136=Manifest!$C$4,K136=Manifest!$C$4),MAX(T$4:T135)+1,""))</f>
        <v/>
      </c>
    </row>
    <row r="137" customFormat="false" ht="15" hidden="false" customHeight="false" outlineLevel="0" collapsed="false">
      <c r="C137" s="14"/>
      <c r="E137" s="14"/>
      <c r="F137" s="14"/>
      <c r="G137" s="14"/>
      <c r="H137" s="14"/>
      <c r="M137" s="12"/>
      <c r="O137" s="15" t="str">
        <f aca="false">IF(OR(M137="",N137=""),"",M137+N137)</f>
        <v/>
      </c>
      <c r="P137" s="16" t="str">
        <f aca="true">IF(O137="","",O137-TODAY())</f>
        <v/>
      </c>
      <c r="Q137" s="17" t="str">
        <f aca="false">IF(A137="","",TRIM(IF(E137="","No owner. ","")&amp;IF(F137="","No storage location. ","")&amp;IF(D137="","Serial missing. ","")&amp;IF(OR(H137="",H137="Undecided"),"No disposition. ","")&amp;IF(AND(H137="Ship",J137="",K137=""),"Shipping but no container/vehicle. ","")&amp;IF(AND(J137&lt;&gt;"",K137&lt;&gt;""),"In both a container and a vehicle. ","")&amp;IF(AND(H137="Ship",L137=""),"No destination. ","")&amp;IF(AND(J137&lt;&gt;"",L137&lt;&gt;"",IFERROR(VLOOKUP(J137,Containers!$A$5:$F$60,6,FALSE()),L137)&lt;&gt;L137),"Destination differs from container. ","")&amp;IF(AND(K137&lt;&gt;"",L137&lt;&gt;"",IFERROR(VLOOKUP(K137,Vehicles!$A$5:$F$60,6,FALSE()),L137)&lt;&gt;L137),"Destination differs from vehicle. ","")&amp;IF(AND(H137="Stay",OR(J137&lt;&gt;"",K137&lt;&gt;"",L137&lt;&gt;"")),"Marked Stay but has a container/vehicle/destination. ","")&amp;IF(G137="Missing","Reported missing. ","")&amp;IF(AND(P137&lt;&gt;"",N(P137)&lt;0),"Service overdue. ","")))</f>
        <v/>
      </c>
      <c r="S137" s="17" t="str">
        <f aca="false">IF(A137="","",IF(CHOOSE(MATCH(Find!$C$4,Lists!$K$2:$K$7,0),F137,E137,J137,K137,L137,G137)=Find!$C$5,MAX(S$4:S136)+1,""))</f>
        <v/>
      </c>
      <c r="T137" s="17" t="str">
        <f aca="false">IF(A137="","",IF(OR(J137=Manifest!$C$4,K137=Manifest!$C$4),MAX(T$4:T136)+1,""))</f>
        <v/>
      </c>
    </row>
    <row r="138" customFormat="false" ht="15" hidden="false" customHeight="false" outlineLevel="0" collapsed="false">
      <c r="C138" s="14"/>
      <c r="E138" s="14"/>
      <c r="F138" s="14"/>
      <c r="G138" s="14"/>
      <c r="H138" s="14"/>
      <c r="M138" s="12"/>
      <c r="O138" s="15" t="str">
        <f aca="false">IF(OR(M138="",N138=""),"",M138+N138)</f>
        <v/>
      </c>
      <c r="P138" s="16" t="str">
        <f aca="true">IF(O138="","",O138-TODAY())</f>
        <v/>
      </c>
      <c r="Q138" s="17" t="str">
        <f aca="false">IF(A138="","",TRIM(IF(E138="","No owner. ","")&amp;IF(F138="","No storage location. ","")&amp;IF(D138="","Serial missing. ","")&amp;IF(OR(H138="",H138="Undecided"),"No disposition. ","")&amp;IF(AND(H138="Ship",J138="",K138=""),"Shipping but no container/vehicle. ","")&amp;IF(AND(J138&lt;&gt;"",K138&lt;&gt;""),"In both a container and a vehicle. ","")&amp;IF(AND(H138="Ship",L138=""),"No destination. ","")&amp;IF(AND(J138&lt;&gt;"",L138&lt;&gt;"",IFERROR(VLOOKUP(J138,Containers!$A$5:$F$60,6,FALSE()),L138)&lt;&gt;L138),"Destination differs from container. ","")&amp;IF(AND(K138&lt;&gt;"",L138&lt;&gt;"",IFERROR(VLOOKUP(K138,Vehicles!$A$5:$F$60,6,FALSE()),L138)&lt;&gt;L138),"Destination differs from vehicle. ","")&amp;IF(AND(H138="Stay",OR(J138&lt;&gt;"",K138&lt;&gt;"",L138&lt;&gt;"")),"Marked Stay but has a container/vehicle/destination. ","")&amp;IF(G138="Missing","Reported missing. ","")&amp;IF(AND(P138&lt;&gt;"",N(P138)&lt;0),"Service overdue. ","")))</f>
        <v/>
      </c>
      <c r="S138" s="17" t="str">
        <f aca="false">IF(A138="","",IF(CHOOSE(MATCH(Find!$C$4,Lists!$K$2:$K$7,0),F138,E138,J138,K138,L138,G138)=Find!$C$5,MAX(S$4:S137)+1,""))</f>
        <v/>
      </c>
      <c r="T138" s="17" t="str">
        <f aca="false">IF(A138="","",IF(OR(J138=Manifest!$C$4,K138=Manifest!$C$4),MAX(T$4:T137)+1,""))</f>
        <v/>
      </c>
    </row>
    <row r="139" customFormat="false" ht="15" hidden="false" customHeight="false" outlineLevel="0" collapsed="false">
      <c r="C139" s="14"/>
      <c r="E139" s="14"/>
      <c r="F139" s="14"/>
      <c r="G139" s="14"/>
      <c r="H139" s="14"/>
      <c r="M139" s="12"/>
      <c r="O139" s="15" t="str">
        <f aca="false">IF(OR(M139="",N139=""),"",M139+N139)</f>
        <v/>
      </c>
      <c r="P139" s="16" t="str">
        <f aca="true">IF(O139="","",O139-TODAY())</f>
        <v/>
      </c>
      <c r="Q139" s="17" t="str">
        <f aca="false">IF(A139="","",TRIM(IF(E139="","No owner. ","")&amp;IF(F139="","No storage location. ","")&amp;IF(D139="","Serial missing. ","")&amp;IF(OR(H139="",H139="Undecided"),"No disposition. ","")&amp;IF(AND(H139="Ship",J139="",K139=""),"Shipping but no container/vehicle. ","")&amp;IF(AND(J139&lt;&gt;"",K139&lt;&gt;""),"In both a container and a vehicle. ","")&amp;IF(AND(H139="Ship",L139=""),"No destination. ","")&amp;IF(AND(J139&lt;&gt;"",L139&lt;&gt;"",IFERROR(VLOOKUP(J139,Containers!$A$5:$F$60,6,FALSE()),L139)&lt;&gt;L139),"Destination differs from container. ","")&amp;IF(AND(K139&lt;&gt;"",L139&lt;&gt;"",IFERROR(VLOOKUP(K139,Vehicles!$A$5:$F$60,6,FALSE()),L139)&lt;&gt;L139),"Destination differs from vehicle. ","")&amp;IF(AND(H139="Stay",OR(J139&lt;&gt;"",K139&lt;&gt;"",L139&lt;&gt;"")),"Marked Stay but has a container/vehicle/destination. ","")&amp;IF(G139="Missing","Reported missing. ","")&amp;IF(AND(P139&lt;&gt;"",N(P139)&lt;0),"Service overdue. ","")))</f>
        <v/>
      </c>
      <c r="S139" s="17" t="str">
        <f aca="false">IF(A139="","",IF(CHOOSE(MATCH(Find!$C$4,Lists!$K$2:$K$7,0),F139,E139,J139,K139,L139,G139)=Find!$C$5,MAX(S$4:S138)+1,""))</f>
        <v/>
      </c>
      <c r="T139" s="17" t="str">
        <f aca="false">IF(A139="","",IF(OR(J139=Manifest!$C$4,K139=Manifest!$C$4),MAX(T$4:T138)+1,""))</f>
        <v/>
      </c>
    </row>
    <row r="140" customFormat="false" ht="15" hidden="false" customHeight="false" outlineLevel="0" collapsed="false">
      <c r="C140" s="14"/>
      <c r="E140" s="14"/>
      <c r="F140" s="14"/>
      <c r="G140" s="14"/>
      <c r="H140" s="14"/>
      <c r="M140" s="12"/>
      <c r="O140" s="15" t="str">
        <f aca="false">IF(OR(M140="",N140=""),"",M140+N140)</f>
        <v/>
      </c>
      <c r="P140" s="16" t="str">
        <f aca="true">IF(O140="","",O140-TODAY())</f>
        <v/>
      </c>
      <c r="Q140" s="17" t="str">
        <f aca="false">IF(A140="","",TRIM(IF(E140="","No owner. ","")&amp;IF(F140="","No storage location. ","")&amp;IF(D140="","Serial missing. ","")&amp;IF(OR(H140="",H140="Undecided"),"No disposition. ","")&amp;IF(AND(H140="Ship",J140="",K140=""),"Shipping but no container/vehicle. ","")&amp;IF(AND(J140&lt;&gt;"",K140&lt;&gt;""),"In both a container and a vehicle. ","")&amp;IF(AND(H140="Ship",L140=""),"No destination. ","")&amp;IF(AND(J140&lt;&gt;"",L140&lt;&gt;"",IFERROR(VLOOKUP(J140,Containers!$A$5:$F$60,6,FALSE()),L140)&lt;&gt;L140),"Destination differs from container. ","")&amp;IF(AND(K140&lt;&gt;"",L140&lt;&gt;"",IFERROR(VLOOKUP(K140,Vehicles!$A$5:$F$60,6,FALSE()),L140)&lt;&gt;L140),"Destination differs from vehicle. ","")&amp;IF(AND(H140="Stay",OR(J140&lt;&gt;"",K140&lt;&gt;"",L140&lt;&gt;"")),"Marked Stay but has a container/vehicle/destination. ","")&amp;IF(G140="Missing","Reported missing. ","")&amp;IF(AND(P140&lt;&gt;"",N(P140)&lt;0),"Service overdue. ","")))</f>
        <v/>
      </c>
      <c r="S140" s="17" t="str">
        <f aca="false">IF(A140="","",IF(CHOOSE(MATCH(Find!$C$4,Lists!$K$2:$K$7,0),F140,E140,J140,K140,L140,G140)=Find!$C$5,MAX(S$4:S139)+1,""))</f>
        <v/>
      </c>
      <c r="T140" s="17" t="str">
        <f aca="false">IF(A140="","",IF(OR(J140=Manifest!$C$4,K140=Manifest!$C$4),MAX(T$4:T139)+1,""))</f>
        <v/>
      </c>
    </row>
    <row r="141" customFormat="false" ht="15" hidden="false" customHeight="false" outlineLevel="0" collapsed="false">
      <c r="C141" s="14"/>
      <c r="E141" s="14"/>
      <c r="F141" s="14"/>
      <c r="G141" s="14"/>
      <c r="H141" s="14"/>
      <c r="M141" s="12"/>
      <c r="O141" s="15" t="str">
        <f aca="false">IF(OR(M141="",N141=""),"",M141+N141)</f>
        <v/>
      </c>
      <c r="P141" s="16" t="str">
        <f aca="true">IF(O141="","",O141-TODAY())</f>
        <v/>
      </c>
      <c r="Q141" s="17" t="str">
        <f aca="false">IF(A141="","",TRIM(IF(E141="","No owner. ","")&amp;IF(F141="","No storage location. ","")&amp;IF(D141="","Serial missing. ","")&amp;IF(OR(H141="",H141="Undecided"),"No disposition. ","")&amp;IF(AND(H141="Ship",J141="",K141=""),"Shipping but no container/vehicle. ","")&amp;IF(AND(J141&lt;&gt;"",K141&lt;&gt;""),"In both a container and a vehicle. ","")&amp;IF(AND(H141="Ship",L141=""),"No destination. ","")&amp;IF(AND(J141&lt;&gt;"",L141&lt;&gt;"",IFERROR(VLOOKUP(J141,Containers!$A$5:$F$60,6,FALSE()),L141)&lt;&gt;L141),"Destination differs from container. ","")&amp;IF(AND(K141&lt;&gt;"",L141&lt;&gt;"",IFERROR(VLOOKUP(K141,Vehicles!$A$5:$F$60,6,FALSE()),L141)&lt;&gt;L141),"Destination differs from vehicle. ","")&amp;IF(AND(H141="Stay",OR(J141&lt;&gt;"",K141&lt;&gt;"",L141&lt;&gt;"")),"Marked Stay but has a container/vehicle/destination. ","")&amp;IF(G141="Missing","Reported missing. ","")&amp;IF(AND(P141&lt;&gt;"",N(P141)&lt;0),"Service overdue. ","")))</f>
        <v/>
      </c>
      <c r="S141" s="17" t="str">
        <f aca="false">IF(A141="","",IF(CHOOSE(MATCH(Find!$C$4,Lists!$K$2:$K$7,0),F141,E141,J141,K141,L141,G141)=Find!$C$5,MAX(S$4:S140)+1,""))</f>
        <v/>
      </c>
      <c r="T141" s="17" t="str">
        <f aca="false">IF(A141="","",IF(OR(J141=Manifest!$C$4,K141=Manifest!$C$4),MAX(T$4:T140)+1,""))</f>
        <v/>
      </c>
    </row>
    <row r="142" customFormat="false" ht="15" hidden="false" customHeight="false" outlineLevel="0" collapsed="false">
      <c r="C142" s="14"/>
      <c r="E142" s="14"/>
      <c r="F142" s="14"/>
      <c r="G142" s="14"/>
      <c r="H142" s="14"/>
      <c r="M142" s="12"/>
      <c r="O142" s="15" t="str">
        <f aca="false">IF(OR(M142="",N142=""),"",M142+N142)</f>
        <v/>
      </c>
      <c r="P142" s="16" t="str">
        <f aca="true">IF(O142="","",O142-TODAY())</f>
        <v/>
      </c>
      <c r="Q142" s="17" t="str">
        <f aca="false">IF(A142="","",TRIM(IF(E142="","No owner. ","")&amp;IF(F142="","No storage location. ","")&amp;IF(D142="","Serial missing. ","")&amp;IF(OR(H142="",H142="Undecided"),"No disposition. ","")&amp;IF(AND(H142="Ship",J142="",K142=""),"Shipping but no container/vehicle. ","")&amp;IF(AND(J142&lt;&gt;"",K142&lt;&gt;""),"In both a container and a vehicle. ","")&amp;IF(AND(H142="Ship",L142=""),"No destination. ","")&amp;IF(AND(J142&lt;&gt;"",L142&lt;&gt;"",IFERROR(VLOOKUP(J142,Containers!$A$5:$F$60,6,FALSE()),L142)&lt;&gt;L142),"Destination differs from container. ","")&amp;IF(AND(K142&lt;&gt;"",L142&lt;&gt;"",IFERROR(VLOOKUP(K142,Vehicles!$A$5:$F$60,6,FALSE()),L142)&lt;&gt;L142),"Destination differs from vehicle. ","")&amp;IF(AND(H142="Stay",OR(J142&lt;&gt;"",K142&lt;&gt;"",L142&lt;&gt;"")),"Marked Stay but has a container/vehicle/destination. ","")&amp;IF(G142="Missing","Reported missing. ","")&amp;IF(AND(P142&lt;&gt;"",N(P142)&lt;0),"Service overdue. ","")))</f>
        <v/>
      </c>
      <c r="S142" s="17" t="str">
        <f aca="false">IF(A142="","",IF(CHOOSE(MATCH(Find!$C$4,Lists!$K$2:$K$7,0),F142,E142,J142,K142,L142,G142)=Find!$C$5,MAX(S$4:S141)+1,""))</f>
        <v/>
      </c>
      <c r="T142" s="17" t="str">
        <f aca="false">IF(A142="","",IF(OR(J142=Manifest!$C$4,K142=Manifest!$C$4),MAX(T$4:T141)+1,""))</f>
        <v/>
      </c>
    </row>
    <row r="143" customFormat="false" ht="15" hidden="false" customHeight="false" outlineLevel="0" collapsed="false">
      <c r="C143" s="14"/>
      <c r="E143" s="14"/>
      <c r="F143" s="14"/>
      <c r="G143" s="14"/>
      <c r="H143" s="14"/>
      <c r="M143" s="12"/>
      <c r="O143" s="15" t="str">
        <f aca="false">IF(OR(M143="",N143=""),"",M143+N143)</f>
        <v/>
      </c>
      <c r="P143" s="16" t="str">
        <f aca="true">IF(O143="","",O143-TODAY())</f>
        <v/>
      </c>
      <c r="Q143" s="17" t="str">
        <f aca="false">IF(A143="","",TRIM(IF(E143="","No owner. ","")&amp;IF(F143="","No storage location. ","")&amp;IF(D143="","Serial missing. ","")&amp;IF(OR(H143="",H143="Undecided"),"No disposition. ","")&amp;IF(AND(H143="Ship",J143="",K143=""),"Shipping but no container/vehicle. ","")&amp;IF(AND(J143&lt;&gt;"",K143&lt;&gt;""),"In both a container and a vehicle. ","")&amp;IF(AND(H143="Ship",L143=""),"No destination. ","")&amp;IF(AND(J143&lt;&gt;"",L143&lt;&gt;"",IFERROR(VLOOKUP(J143,Containers!$A$5:$F$60,6,FALSE()),L143)&lt;&gt;L143),"Destination differs from container. ","")&amp;IF(AND(K143&lt;&gt;"",L143&lt;&gt;"",IFERROR(VLOOKUP(K143,Vehicles!$A$5:$F$60,6,FALSE()),L143)&lt;&gt;L143),"Destination differs from vehicle. ","")&amp;IF(AND(H143="Stay",OR(J143&lt;&gt;"",K143&lt;&gt;"",L143&lt;&gt;"")),"Marked Stay but has a container/vehicle/destination. ","")&amp;IF(G143="Missing","Reported missing. ","")&amp;IF(AND(P143&lt;&gt;"",N(P143)&lt;0),"Service overdue. ","")))</f>
        <v/>
      </c>
      <c r="S143" s="17" t="str">
        <f aca="false">IF(A143="","",IF(CHOOSE(MATCH(Find!$C$4,Lists!$K$2:$K$7,0),F143,E143,J143,K143,L143,G143)=Find!$C$5,MAX(S$4:S142)+1,""))</f>
        <v/>
      </c>
      <c r="T143" s="17" t="str">
        <f aca="false">IF(A143="","",IF(OR(J143=Manifest!$C$4,K143=Manifest!$C$4),MAX(T$4:T142)+1,""))</f>
        <v/>
      </c>
    </row>
    <row r="144" customFormat="false" ht="15" hidden="false" customHeight="false" outlineLevel="0" collapsed="false">
      <c r="C144" s="14"/>
      <c r="E144" s="14"/>
      <c r="F144" s="14"/>
      <c r="G144" s="14"/>
      <c r="H144" s="14"/>
      <c r="M144" s="12"/>
      <c r="O144" s="15" t="str">
        <f aca="false">IF(OR(M144="",N144=""),"",M144+N144)</f>
        <v/>
      </c>
      <c r="P144" s="16" t="str">
        <f aca="true">IF(O144="","",O144-TODAY())</f>
        <v/>
      </c>
      <c r="Q144" s="17" t="str">
        <f aca="false">IF(A144="","",TRIM(IF(E144="","No owner. ","")&amp;IF(F144="","No storage location. ","")&amp;IF(D144="","Serial missing. ","")&amp;IF(OR(H144="",H144="Undecided"),"No disposition. ","")&amp;IF(AND(H144="Ship",J144="",K144=""),"Shipping but no container/vehicle. ","")&amp;IF(AND(J144&lt;&gt;"",K144&lt;&gt;""),"In both a container and a vehicle. ","")&amp;IF(AND(H144="Ship",L144=""),"No destination. ","")&amp;IF(AND(J144&lt;&gt;"",L144&lt;&gt;"",IFERROR(VLOOKUP(J144,Containers!$A$5:$F$60,6,FALSE()),L144)&lt;&gt;L144),"Destination differs from container. ","")&amp;IF(AND(K144&lt;&gt;"",L144&lt;&gt;"",IFERROR(VLOOKUP(K144,Vehicles!$A$5:$F$60,6,FALSE()),L144)&lt;&gt;L144),"Destination differs from vehicle. ","")&amp;IF(AND(H144="Stay",OR(J144&lt;&gt;"",K144&lt;&gt;"",L144&lt;&gt;"")),"Marked Stay but has a container/vehicle/destination. ","")&amp;IF(G144="Missing","Reported missing. ","")&amp;IF(AND(P144&lt;&gt;"",N(P144)&lt;0),"Service overdue. ","")))</f>
        <v/>
      </c>
      <c r="S144" s="17" t="str">
        <f aca="false">IF(A144="","",IF(CHOOSE(MATCH(Find!$C$4,Lists!$K$2:$K$7,0),F144,E144,J144,K144,L144,G144)=Find!$C$5,MAX(S$4:S143)+1,""))</f>
        <v/>
      </c>
      <c r="T144" s="17" t="str">
        <f aca="false">IF(A144="","",IF(OR(J144=Manifest!$C$4,K144=Manifest!$C$4),MAX(T$4:T143)+1,""))</f>
        <v/>
      </c>
    </row>
    <row r="145" customFormat="false" ht="15" hidden="false" customHeight="false" outlineLevel="0" collapsed="false">
      <c r="C145" s="14"/>
      <c r="E145" s="14"/>
      <c r="F145" s="14"/>
      <c r="G145" s="14"/>
      <c r="H145" s="14"/>
      <c r="M145" s="12"/>
      <c r="O145" s="15" t="str">
        <f aca="false">IF(OR(M145="",N145=""),"",M145+N145)</f>
        <v/>
      </c>
      <c r="P145" s="16" t="str">
        <f aca="true">IF(O145="","",O145-TODAY())</f>
        <v/>
      </c>
      <c r="Q145" s="17" t="str">
        <f aca="false">IF(A145="","",TRIM(IF(E145="","No owner. ","")&amp;IF(F145="","No storage location. ","")&amp;IF(D145="","Serial missing. ","")&amp;IF(OR(H145="",H145="Undecided"),"No disposition. ","")&amp;IF(AND(H145="Ship",J145="",K145=""),"Shipping but no container/vehicle. ","")&amp;IF(AND(J145&lt;&gt;"",K145&lt;&gt;""),"In both a container and a vehicle. ","")&amp;IF(AND(H145="Ship",L145=""),"No destination. ","")&amp;IF(AND(J145&lt;&gt;"",L145&lt;&gt;"",IFERROR(VLOOKUP(J145,Containers!$A$5:$F$60,6,FALSE()),L145)&lt;&gt;L145),"Destination differs from container. ","")&amp;IF(AND(K145&lt;&gt;"",L145&lt;&gt;"",IFERROR(VLOOKUP(K145,Vehicles!$A$5:$F$60,6,FALSE()),L145)&lt;&gt;L145),"Destination differs from vehicle. ","")&amp;IF(AND(H145="Stay",OR(J145&lt;&gt;"",K145&lt;&gt;"",L145&lt;&gt;"")),"Marked Stay but has a container/vehicle/destination. ","")&amp;IF(G145="Missing","Reported missing. ","")&amp;IF(AND(P145&lt;&gt;"",N(P145)&lt;0),"Service overdue. ","")))</f>
        <v/>
      </c>
      <c r="S145" s="17" t="str">
        <f aca="false">IF(A145="","",IF(CHOOSE(MATCH(Find!$C$4,Lists!$K$2:$K$7,0),F145,E145,J145,K145,L145,G145)=Find!$C$5,MAX(S$4:S144)+1,""))</f>
        <v/>
      </c>
      <c r="T145" s="17" t="str">
        <f aca="false">IF(A145="","",IF(OR(J145=Manifest!$C$4,K145=Manifest!$C$4),MAX(T$4:T144)+1,""))</f>
        <v/>
      </c>
    </row>
    <row r="146" customFormat="false" ht="15" hidden="false" customHeight="false" outlineLevel="0" collapsed="false">
      <c r="C146" s="14"/>
      <c r="E146" s="14"/>
      <c r="F146" s="14"/>
      <c r="G146" s="14"/>
      <c r="H146" s="14"/>
      <c r="M146" s="12"/>
      <c r="O146" s="15" t="str">
        <f aca="false">IF(OR(M146="",N146=""),"",M146+N146)</f>
        <v/>
      </c>
      <c r="P146" s="16" t="str">
        <f aca="true">IF(O146="","",O146-TODAY())</f>
        <v/>
      </c>
      <c r="Q146" s="17" t="str">
        <f aca="false">IF(A146="","",TRIM(IF(E146="","No owner. ","")&amp;IF(F146="","No storage location. ","")&amp;IF(D146="","Serial missing. ","")&amp;IF(OR(H146="",H146="Undecided"),"No disposition. ","")&amp;IF(AND(H146="Ship",J146="",K146=""),"Shipping but no container/vehicle. ","")&amp;IF(AND(J146&lt;&gt;"",K146&lt;&gt;""),"In both a container and a vehicle. ","")&amp;IF(AND(H146="Ship",L146=""),"No destination. ","")&amp;IF(AND(J146&lt;&gt;"",L146&lt;&gt;"",IFERROR(VLOOKUP(J146,Containers!$A$5:$F$60,6,FALSE()),L146)&lt;&gt;L146),"Destination differs from container. ","")&amp;IF(AND(K146&lt;&gt;"",L146&lt;&gt;"",IFERROR(VLOOKUP(K146,Vehicles!$A$5:$F$60,6,FALSE()),L146)&lt;&gt;L146),"Destination differs from vehicle. ","")&amp;IF(AND(H146="Stay",OR(J146&lt;&gt;"",K146&lt;&gt;"",L146&lt;&gt;"")),"Marked Stay but has a container/vehicle/destination. ","")&amp;IF(G146="Missing","Reported missing. ","")&amp;IF(AND(P146&lt;&gt;"",N(P146)&lt;0),"Service overdue. ","")))</f>
        <v/>
      </c>
      <c r="S146" s="17" t="str">
        <f aca="false">IF(A146="","",IF(CHOOSE(MATCH(Find!$C$4,Lists!$K$2:$K$7,0),F146,E146,J146,K146,L146,G146)=Find!$C$5,MAX(S$4:S145)+1,""))</f>
        <v/>
      </c>
      <c r="T146" s="17" t="str">
        <f aca="false">IF(A146="","",IF(OR(J146=Manifest!$C$4,K146=Manifest!$C$4),MAX(T$4:T145)+1,""))</f>
        <v/>
      </c>
    </row>
    <row r="147" customFormat="false" ht="15" hidden="false" customHeight="false" outlineLevel="0" collapsed="false">
      <c r="C147" s="14"/>
      <c r="E147" s="14"/>
      <c r="F147" s="14"/>
      <c r="G147" s="14"/>
      <c r="H147" s="14"/>
      <c r="M147" s="12"/>
      <c r="O147" s="15" t="str">
        <f aca="false">IF(OR(M147="",N147=""),"",M147+N147)</f>
        <v/>
      </c>
      <c r="P147" s="16" t="str">
        <f aca="true">IF(O147="","",O147-TODAY())</f>
        <v/>
      </c>
      <c r="Q147" s="17" t="str">
        <f aca="false">IF(A147="","",TRIM(IF(E147="","No owner. ","")&amp;IF(F147="","No storage location. ","")&amp;IF(D147="","Serial missing. ","")&amp;IF(OR(H147="",H147="Undecided"),"No disposition. ","")&amp;IF(AND(H147="Ship",J147="",K147=""),"Shipping but no container/vehicle. ","")&amp;IF(AND(J147&lt;&gt;"",K147&lt;&gt;""),"In both a container and a vehicle. ","")&amp;IF(AND(H147="Ship",L147=""),"No destination. ","")&amp;IF(AND(J147&lt;&gt;"",L147&lt;&gt;"",IFERROR(VLOOKUP(J147,Containers!$A$5:$F$60,6,FALSE()),L147)&lt;&gt;L147),"Destination differs from container. ","")&amp;IF(AND(K147&lt;&gt;"",L147&lt;&gt;"",IFERROR(VLOOKUP(K147,Vehicles!$A$5:$F$60,6,FALSE()),L147)&lt;&gt;L147),"Destination differs from vehicle. ","")&amp;IF(AND(H147="Stay",OR(J147&lt;&gt;"",K147&lt;&gt;"",L147&lt;&gt;"")),"Marked Stay but has a container/vehicle/destination. ","")&amp;IF(G147="Missing","Reported missing. ","")&amp;IF(AND(P147&lt;&gt;"",N(P147)&lt;0),"Service overdue. ","")))</f>
        <v/>
      </c>
      <c r="S147" s="17" t="str">
        <f aca="false">IF(A147="","",IF(CHOOSE(MATCH(Find!$C$4,Lists!$K$2:$K$7,0),F147,E147,J147,K147,L147,G147)=Find!$C$5,MAX(S$4:S146)+1,""))</f>
        <v/>
      </c>
      <c r="T147" s="17" t="str">
        <f aca="false">IF(A147="","",IF(OR(J147=Manifest!$C$4,K147=Manifest!$C$4),MAX(T$4:T146)+1,""))</f>
        <v/>
      </c>
    </row>
    <row r="148" customFormat="false" ht="15" hidden="false" customHeight="false" outlineLevel="0" collapsed="false">
      <c r="C148" s="14"/>
      <c r="E148" s="14"/>
      <c r="F148" s="14"/>
      <c r="G148" s="14"/>
      <c r="H148" s="14"/>
      <c r="M148" s="12"/>
      <c r="O148" s="15" t="str">
        <f aca="false">IF(OR(M148="",N148=""),"",M148+N148)</f>
        <v/>
      </c>
      <c r="P148" s="16" t="str">
        <f aca="true">IF(O148="","",O148-TODAY())</f>
        <v/>
      </c>
      <c r="Q148" s="17" t="str">
        <f aca="false">IF(A148="","",TRIM(IF(E148="","No owner. ","")&amp;IF(F148="","No storage location. ","")&amp;IF(D148="","Serial missing. ","")&amp;IF(OR(H148="",H148="Undecided"),"No disposition. ","")&amp;IF(AND(H148="Ship",J148="",K148=""),"Shipping but no container/vehicle. ","")&amp;IF(AND(J148&lt;&gt;"",K148&lt;&gt;""),"In both a container and a vehicle. ","")&amp;IF(AND(H148="Ship",L148=""),"No destination. ","")&amp;IF(AND(J148&lt;&gt;"",L148&lt;&gt;"",IFERROR(VLOOKUP(J148,Containers!$A$5:$F$60,6,FALSE()),L148)&lt;&gt;L148),"Destination differs from container. ","")&amp;IF(AND(K148&lt;&gt;"",L148&lt;&gt;"",IFERROR(VLOOKUP(K148,Vehicles!$A$5:$F$60,6,FALSE()),L148)&lt;&gt;L148),"Destination differs from vehicle. ","")&amp;IF(AND(H148="Stay",OR(J148&lt;&gt;"",K148&lt;&gt;"",L148&lt;&gt;"")),"Marked Stay but has a container/vehicle/destination. ","")&amp;IF(G148="Missing","Reported missing. ","")&amp;IF(AND(P148&lt;&gt;"",N(P148)&lt;0),"Service overdue. ","")))</f>
        <v/>
      </c>
      <c r="S148" s="17" t="str">
        <f aca="false">IF(A148="","",IF(CHOOSE(MATCH(Find!$C$4,Lists!$K$2:$K$7,0),F148,E148,J148,K148,L148,G148)=Find!$C$5,MAX(S$4:S147)+1,""))</f>
        <v/>
      </c>
      <c r="T148" s="17" t="str">
        <f aca="false">IF(A148="","",IF(OR(J148=Manifest!$C$4,K148=Manifest!$C$4),MAX(T$4:T147)+1,""))</f>
        <v/>
      </c>
    </row>
    <row r="149" customFormat="false" ht="15" hidden="false" customHeight="false" outlineLevel="0" collapsed="false">
      <c r="C149" s="14"/>
      <c r="E149" s="14"/>
      <c r="F149" s="14"/>
      <c r="G149" s="14"/>
      <c r="H149" s="14"/>
      <c r="M149" s="12"/>
      <c r="O149" s="15" t="str">
        <f aca="false">IF(OR(M149="",N149=""),"",M149+N149)</f>
        <v/>
      </c>
      <c r="P149" s="16" t="str">
        <f aca="true">IF(O149="","",O149-TODAY())</f>
        <v/>
      </c>
      <c r="Q149" s="17" t="str">
        <f aca="false">IF(A149="","",TRIM(IF(E149="","No owner. ","")&amp;IF(F149="","No storage location. ","")&amp;IF(D149="","Serial missing. ","")&amp;IF(OR(H149="",H149="Undecided"),"No disposition. ","")&amp;IF(AND(H149="Ship",J149="",K149=""),"Shipping but no container/vehicle. ","")&amp;IF(AND(J149&lt;&gt;"",K149&lt;&gt;""),"In both a container and a vehicle. ","")&amp;IF(AND(H149="Ship",L149=""),"No destination. ","")&amp;IF(AND(J149&lt;&gt;"",L149&lt;&gt;"",IFERROR(VLOOKUP(J149,Containers!$A$5:$F$60,6,FALSE()),L149)&lt;&gt;L149),"Destination differs from container. ","")&amp;IF(AND(K149&lt;&gt;"",L149&lt;&gt;"",IFERROR(VLOOKUP(K149,Vehicles!$A$5:$F$60,6,FALSE()),L149)&lt;&gt;L149),"Destination differs from vehicle. ","")&amp;IF(AND(H149="Stay",OR(J149&lt;&gt;"",K149&lt;&gt;"",L149&lt;&gt;"")),"Marked Stay but has a container/vehicle/destination. ","")&amp;IF(G149="Missing","Reported missing. ","")&amp;IF(AND(P149&lt;&gt;"",N(P149)&lt;0),"Service overdue. ","")))</f>
        <v/>
      </c>
      <c r="S149" s="17" t="str">
        <f aca="false">IF(A149="","",IF(CHOOSE(MATCH(Find!$C$4,Lists!$K$2:$K$7,0),F149,E149,J149,K149,L149,G149)=Find!$C$5,MAX(S$4:S148)+1,""))</f>
        <v/>
      </c>
      <c r="T149" s="17" t="str">
        <f aca="false">IF(A149="","",IF(OR(J149=Manifest!$C$4,K149=Manifest!$C$4),MAX(T$4:T148)+1,""))</f>
        <v/>
      </c>
    </row>
    <row r="150" customFormat="false" ht="15" hidden="false" customHeight="false" outlineLevel="0" collapsed="false">
      <c r="C150" s="14"/>
      <c r="E150" s="14"/>
      <c r="F150" s="14"/>
      <c r="G150" s="14"/>
      <c r="H150" s="14"/>
      <c r="M150" s="12"/>
      <c r="O150" s="15" t="str">
        <f aca="false">IF(OR(M150="",N150=""),"",M150+N150)</f>
        <v/>
      </c>
      <c r="P150" s="16" t="str">
        <f aca="true">IF(O150="","",O150-TODAY())</f>
        <v/>
      </c>
      <c r="Q150" s="17" t="str">
        <f aca="false">IF(A150="","",TRIM(IF(E150="","No owner. ","")&amp;IF(F150="","No storage location. ","")&amp;IF(D150="","Serial missing. ","")&amp;IF(OR(H150="",H150="Undecided"),"No disposition. ","")&amp;IF(AND(H150="Ship",J150="",K150=""),"Shipping but no container/vehicle. ","")&amp;IF(AND(J150&lt;&gt;"",K150&lt;&gt;""),"In both a container and a vehicle. ","")&amp;IF(AND(H150="Ship",L150=""),"No destination. ","")&amp;IF(AND(J150&lt;&gt;"",L150&lt;&gt;"",IFERROR(VLOOKUP(J150,Containers!$A$5:$F$60,6,FALSE()),L150)&lt;&gt;L150),"Destination differs from container. ","")&amp;IF(AND(K150&lt;&gt;"",L150&lt;&gt;"",IFERROR(VLOOKUP(K150,Vehicles!$A$5:$F$60,6,FALSE()),L150)&lt;&gt;L150),"Destination differs from vehicle. ","")&amp;IF(AND(H150="Stay",OR(J150&lt;&gt;"",K150&lt;&gt;"",L150&lt;&gt;"")),"Marked Stay but has a container/vehicle/destination. ","")&amp;IF(G150="Missing","Reported missing. ","")&amp;IF(AND(P150&lt;&gt;"",N(P150)&lt;0),"Service overdue. ","")))</f>
        <v/>
      </c>
      <c r="S150" s="17" t="str">
        <f aca="false">IF(A150="","",IF(CHOOSE(MATCH(Find!$C$4,Lists!$K$2:$K$7,0),F150,E150,J150,K150,L150,G150)=Find!$C$5,MAX(S$4:S149)+1,""))</f>
        <v/>
      </c>
      <c r="T150" s="17" t="str">
        <f aca="false">IF(A150="","",IF(OR(J150=Manifest!$C$4,K150=Manifest!$C$4),MAX(T$4:T149)+1,""))</f>
        <v/>
      </c>
    </row>
    <row r="151" customFormat="false" ht="15" hidden="false" customHeight="false" outlineLevel="0" collapsed="false">
      <c r="C151" s="14"/>
      <c r="E151" s="14"/>
      <c r="F151" s="14"/>
      <c r="G151" s="14"/>
      <c r="H151" s="14"/>
      <c r="M151" s="12"/>
      <c r="O151" s="15" t="str">
        <f aca="false">IF(OR(M151="",N151=""),"",M151+N151)</f>
        <v/>
      </c>
      <c r="P151" s="16" t="str">
        <f aca="true">IF(O151="","",O151-TODAY())</f>
        <v/>
      </c>
      <c r="Q151" s="17" t="str">
        <f aca="false">IF(A151="","",TRIM(IF(E151="","No owner. ","")&amp;IF(F151="","No storage location. ","")&amp;IF(D151="","Serial missing. ","")&amp;IF(OR(H151="",H151="Undecided"),"No disposition. ","")&amp;IF(AND(H151="Ship",J151="",K151=""),"Shipping but no container/vehicle. ","")&amp;IF(AND(J151&lt;&gt;"",K151&lt;&gt;""),"In both a container and a vehicle. ","")&amp;IF(AND(H151="Ship",L151=""),"No destination. ","")&amp;IF(AND(J151&lt;&gt;"",L151&lt;&gt;"",IFERROR(VLOOKUP(J151,Containers!$A$5:$F$60,6,FALSE()),L151)&lt;&gt;L151),"Destination differs from container. ","")&amp;IF(AND(K151&lt;&gt;"",L151&lt;&gt;"",IFERROR(VLOOKUP(K151,Vehicles!$A$5:$F$60,6,FALSE()),L151)&lt;&gt;L151),"Destination differs from vehicle. ","")&amp;IF(AND(H151="Stay",OR(J151&lt;&gt;"",K151&lt;&gt;"",L151&lt;&gt;"")),"Marked Stay but has a container/vehicle/destination. ","")&amp;IF(G151="Missing","Reported missing. ","")&amp;IF(AND(P151&lt;&gt;"",N(P151)&lt;0),"Service overdue. ","")))</f>
        <v/>
      </c>
      <c r="S151" s="17" t="str">
        <f aca="false">IF(A151="","",IF(CHOOSE(MATCH(Find!$C$4,Lists!$K$2:$K$7,0),F151,E151,J151,K151,L151,G151)=Find!$C$5,MAX(S$4:S150)+1,""))</f>
        <v/>
      </c>
      <c r="T151" s="17" t="str">
        <f aca="false">IF(A151="","",IF(OR(J151=Manifest!$C$4,K151=Manifest!$C$4),MAX(T$4:T150)+1,""))</f>
        <v/>
      </c>
    </row>
    <row r="152" customFormat="false" ht="15" hidden="false" customHeight="false" outlineLevel="0" collapsed="false">
      <c r="C152" s="14"/>
      <c r="E152" s="14"/>
      <c r="F152" s="14"/>
      <c r="G152" s="14"/>
      <c r="H152" s="14"/>
      <c r="M152" s="12"/>
      <c r="O152" s="15" t="str">
        <f aca="false">IF(OR(M152="",N152=""),"",M152+N152)</f>
        <v/>
      </c>
      <c r="P152" s="16" t="str">
        <f aca="true">IF(O152="","",O152-TODAY())</f>
        <v/>
      </c>
      <c r="Q152" s="17" t="str">
        <f aca="false">IF(A152="","",TRIM(IF(E152="","No owner. ","")&amp;IF(F152="","No storage location. ","")&amp;IF(D152="","Serial missing. ","")&amp;IF(OR(H152="",H152="Undecided"),"No disposition. ","")&amp;IF(AND(H152="Ship",J152="",K152=""),"Shipping but no container/vehicle. ","")&amp;IF(AND(J152&lt;&gt;"",K152&lt;&gt;""),"In both a container and a vehicle. ","")&amp;IF(AND(H152="Ship",L152=""),"No destination. ","")&amp;IF(AND(J152&lt;&gt;"",L152&lt;&gt;"",IFERROR(VLOOKUP(J152,Containers!$A$5:$F$60,6,FALSE()),L152)&lt;&gt;L152),"Destination differs from container. ","")&amp;IF(AND(K152&lt;&gt;"",L152&lt;&gt;"",IFERROR(VLOOKUP(K152,Vehicles!$A$5:$F$60,6,FALSE()),L152)&lt;&gt;L152),"Destination differs from vehicle. ","")&amp;IF(AND(H152="Stay",OR(J152&lt;&gt;"",K152&lt;&gt;"",L152&lt;&gt;"")),"Marked Stay but has a container/vehicle/destination. ","")&amp;IF(G152="Missing","Reported missing. ","")&amp;IF(AND(P152&lt;&gt;"",N(P152)&lt;0),"Service overdue. ","")))</f>
        <v/>
      </c>
      <c r="S152" s="17" t="str">
        <f aca="false">IF(A152="","",IF(CHOOSE(MATCH(Find!$C$4,Lists!$K$2:$K$7,0),F152,E152,J152,K152,L152,G152)=Find!$C$5,MAX(S$4:S151)+1,""))</f>
        <v/>
      </c>
      <c r="T152" s="17" t="str">
        <f aca="false">IF(A152="","",IF(OR(J152=Manifest!$C$4,K152=Manifest!$C$4),MAX(T$4:T151)+1,""))</f>
        <v/>
      </c>
    </row>
    <row r="153" customFormat="false" ht="15" hidden="false" customHeight="false" outlineLevel="0" collapsed="false">
      <c r="C153" s="14"/>
      <c r="E153" s="14"/>
      <c r="F153" s="14"/>
      <c r="G153" s="14"/>
      <c r="H153" s="14"/>
      <c r="M153" s="12"/>
      <c r="O153" s="15" t="str">
        <f aca="false">IF(OR(M153="",N153=""),"",M153+N153)</f>
        <v/>
      </c>
      <c r="P153" s="16" t="str">
        <f aca="true">IF(O153="","",O153-TODAY())</f>
        <v/>
      </c>
      <c r="Q153" s="17" t="str">
        <f aca="false">IF(A153="","",TRIM(IF(E153="","No owner. ","")&amp;IF(F153="","No storage location. ","")&amp;IF(D153="","Serial missing. ","")&amp;IF(OR(H153="",H153="Undecided"),"No disposition. ","")&amp;IF(AND(H153="Ship",J153="",K153=""),"Shipping but no container/vehicle. ","")&amp;IF(AND(J153&lt;&gt;"",K153&lt;&gt;""),"In both a container and a vehicle. ","")&amp;IF(AND(H153="Ship",L153=""),"No destination. ","")&amp;IF(AND(J153&lt;&gt;"",L153&lt;&gt;"",IFERROR(VLOOKUP(J153,Containers!$A$5:$F$60,6,FALSE()),L153)&lt;&gt;L153),"Destination differs from container. ","")&amp;IF(AND(K153&lt;&gt;"",L153&lt;&gt;"",IFERROR(VLOOKUP(K153,Vehicles!$A$5:$F$60,6,FALSE()),L153)&lt;&gt;L153),"Destination differs from vehicle. ","")&amp;IF(AND(H153="Stay",OR(J153&lt;&gt;"",K153&lt;&gt;"",L153&lt;&gt;"")),"Marked Stay but has a container/vehicle/destination. ","")&amp;IF(G153="Missing","Reported missing. ","")&amp;IF(AND(P153&lt;&gt;"",N(P153)&lt;0),"Service overdue. ","")))</f>
        <v/>
      </c>
      <c r="S153" s="17" t="str">
        <f aca="false">IF(A153="","",IF(CHOOSE(MATCH(Find!$C$4,Lists!$K$2:$K$7,0),F153,E153,J153,K153,L153,G153)=Find!$C$5,MAX(S$4:S152)+1,""))</f>
        <v/>
      </c>
      <c r="T153" s="17" t="str">
        <f aca="false">IF(A153="","",IF(OR(J153=Manifest!$C$4,K153=Manifest!$C$4),MAX(T$4:T152)+1,""))</f>
        <v/>
      </c>
    </row>
    <row r="154" customFormat="false" ht="15" hidden="false" customHeight="false" outlineLevel="0" collapsed="false">
      <c r="C154" s="14"/>
      <c r="E154" s="14"/>
      <c r="F154" s="14"/>
      <c r="G154" s="14"/>
      <c r="H154" s="14"/>
      <c r="M154" s="12"/>
      <c r="O154" s="15" t="str">
        <f aca="false">IF(OR(M154="",N154=""),"",M154+N154)</f>
        <v/>
      </c>
      <c r="P154" s="16" t="str">
        <f aca="true">IF(O154="","",O154-TODAY())</f>
        <v/>
      </c>
      <c r="Q154" s="17" t="str">
        <f aca="false">IF(A154="","",TRIM(IF(E154="","No owner. ","")&amp;IF(F154="","No storage location. ","")&amp;IF(D154="","Serial missing. ","")&amp;IF(OR(H154="",H154="Undecided"),"No disposition. ","")&amp;IF(AND(H154="Ship",J154="",K154=""),"Shipping but no container/vehicle. ","")&amp;IF(AND(J154&lt;&gt;"",K154&lt;&gt;""),"In both a container and a vehicle. ","")&amp;IF(AND(H154="Ship",L154=""),"No destination. ","")&amp;IF(AND(J154&lt;&gt;"",L154&lt;&gt;"",IFERROR(VLOOKUP(J154,Containers!$A$5:$F$60,6,FALSE()),L154)&lt;&gt;L154),"Destination differs from container. ","")&amp;IF(AND(K154&lt;&gt;"",L154&lt;&gt;"",IFERROR(VLOOKUP(K154,Vehicles!$A$5:$F$60,6,FALSE()),L154)&lt;&gt;L154),"Destination differs from vehicle. ","")&amp;IF(AND(H154="Stay",OR(J154&lt;&gt;"",K154&lt;&gt;"",L154&lt;&gt;"")),"Marked Stay but has a container/vehicle/destination. ","")&amp;IF(G154="Missing","Reported missing. ","")&amp;IF(AND(P154&lt;&gt;"",N(P154)&lt;0),"Service overdue. ","")))</f>
        <v/>
      </c>
      <c r="S154" s="17" t="str">
        <f aca="false">IF(A154="","",IF(CHOOSE(MATCH(Find!$C$4,Lists!$K$2:$K$7,0),F154,E154,J154,K154,L154,G154)=Find!$C$5,MAX(S$4:S153)+1,""))</f>
        <v/>
      </c>
      <c r="T154" s="17" t="str">
        <f aca="false">IF(A154="","",IF(OR(J154=Manifest!$C$4,K154=Manifest!$C$4),MAX(T$4:T153)+1,""))</f>
        <v/>
      </c>
    </row>
    <row r="155" customFormat="false" ht="15" hidden="false" customHeight="false" outlineLevel="0" collapsed="false">
      <c r="C155" s="14"/>
      <c r="E155" s="14"/>
      <c r="F155" s="14"/>
      <c r="G155" s="14"/>
      <c r="H155" s="14"/>
      <c r="M155" s="12"/>
      <c r="O155" s="15" t="str">
        <f aca="false">IF(OR(M155="",N155=""),"",M155+N155)</f>
        <v/>
      </c>
      <c r="P155" s="16" t="str">
        <f aca="true">IF(O155="","",O155-TODAY())</f>
        <v/>
      </c>
      <c r="Q155" s="17" t="str">
        <f aca="false">IF(A155="","",TRIM(IF(E155="","No owner. ","")&amp;IF(F155="","No storage location. ","")&amp;IF(D155="","Serial missing. ","")&amp;IF(OR(H155="",H155="Undecided"),"No disposition. ","")&amp;IF(AND(H155="Ship",J155="",K155=""),"Shipping but no container/vehicle. ","")&amp;IF(AND(J155&lt;&gt;"",K155&lt;&gt;""),"In both a container and a vehicle. ","")&amp;IF(AND(H155="Ship",L155=""),"No destination. ","")&amp;IF(AND(J155&lt;&gt;"",L155&lt;&gt;"",IFERROR(VLOOKUP(J155,Containers!$A$5:$F$60,6,FALSE()),L155)&lt;&gt;L155),"Destination differs from container. ","")&amp;IF(AND(K155&lt;&gt;"",L155&lt;&gt;"",IFERROR(VLOOKUP(K155,Vehicles!$A$5:$F$60,6,FALSE()),L155)&lt;&gt;L155),"Destination differs from vehicle. ","")&amp;IF(AND(H155="Stay",OR(J155&lt;&gt;"",K155&lt;&gt;"",L155&lt;&gt;"")),"Marked Stay but has a container/vehicle/destination. ","")&amp;IF(G155="Missing","Reported missing. ","")&amp;IF(AND(P155&lt;&gt;"",N(P155)&lt;0),"Service overdue. ","")))</f>
        <v/>
      </c>
      <c r="S155" s="17" t="str">
        <f aca="false">IF(A155="","",IF(CHOOSE(MATCH(Find!$C$4,Lists!$K$2:$K$7,0),F155,E155,J155,K155,L155,G155)=Find!$C$5,MAX(S$4:S154)+1,""))</f>
        <v/>
      </c>
      <c r="T155" s="17" t="str">
        <f aca="false">IF(A155="","",IF(OR(J155=Manifest!$C$4,K155=Manifest!$C$4),MAX(T$4:T154)+1,""))</f>
        <v/>
      </c>
    </row>
    <row r="156" customFormat="false" ht="15" hidden="false" customHeight="false" outlineLevel="0" collapsed="false">
      <c r="C156" s="14"/>
      <c r="E156" s="14"/>
      <c r="F156" s="14"/>
      <c r="G156" s="14"/>
      <c r="H156" s="14"/>
      <c r="M156" s="12"/>
      <c r="O156" s="15" t="str">
        <f aca="false">IF(OR(M156="",N156=""),"",M156+N156)</f>
        <v/>
      </c>
      <c r="P156" s="16" t="str">
        <f aca="true">IF(O156="","",O156-TODAY())</f>
        <v/>
      </c>
      <c r="Q156" s="17" t="str">
        <f aca="false">IF(A156="","",TRIM(IF(E156="","No owner. ","")&amp;IF(F156="","No storage location. ","")&amp;IF(D156="","Serial missing. ","")&amp;IF(OR(H156="",H156="Undecided"),"No disposition. ","")&amp;IF(AND(H156="Ship",J156="",K156=""),"Shipping but no container/vehicle. ","")&amp;IF(AND(J156&lt;&gt;"",K156&lt;&gt;""),"In both a container and a vehicle. ","")&amp;IF(AND(H156="Ship",L156=""),"No destination. ","")&amp;IF(AND(J156&lt;&gt;"",L156&lt;&gt;"",IFERROR(VLOOKUP(J156,Containers!$A$5:$F$60,6,FALSE()),L156)&lt;&gt;L156),"Destination differs from container. ","")&amp;IF(AND(K156&lt;&gt;"",L156&lt;&gt;"",IFERROR(VLOOKUP(K156,Vehicles!$A$5:$F$60,6,FALSE()),L156)&lt;&gt;L156),"Destination differs from vehicle. ","")&amp;IF(AND(H156="Stay",OR(J156&lt;&gt;"",K156&lt;&gt;"",L156&lt;&gt;"")),"Marked Stay but has a container/vehicle/destination. ","")&amp;IF(G156="Missing","Reported missing. ","")&amp;IF(AND(P156&lt;&gt;"",N(P156)&lt;0),"Service overdue. ","")))</f>
        <v/>
      </c>
      <c r="S156" s="17" t="str">
        <f aca="false">IF(A156="","",IF(CHOOSE(MATCH(Find!$C$4,Lists!$K$2:$K$7,0),F156,E156,J156,K156,L156,G156)=Find!$C$5,MAX(S$4:S155)+1,""))</f>
        <v/>
      </c>
      <c r="T156" s="17" t="str">
        <f aca="false">IF(A156="","",IF(OR(J156=Manifest!$C$4,K156=Manifest!$C$4),MAX(T$4:T155)+1,""))</f>
        <v/>
      </c>
    </row>
    <row r="157" customFormat="false" ht="15" hidden="false" customHeight="false" outlineLevel="0" collapsed="false">
      <c r="C157" s="14"/>
      <c r="E157" s="14"/>
      <c r="F157" s="14"/>
      <c r="G157" s="14"/>
      <c r="H157" s="14"/>
      <c r="M157" s="12"/>
      <c r="O157" s="15" t="str">
        <f aca="false">IF(OR(M157="",N157=""),"",M157+N157)</f>
        <v/>
      </c>
      <c r="P157" s="16" t="str">
        <f aca="true">IF(O157="","",O157-TODAY())</f>
        <v/>
      </c>
      <c r="Q157" s="17" t="str">
        <f aca="false">IF(A157="","",TRIM(IF(E157="","No owner. ","")&amp;IF(F157="","No storage location. ","")&amp;IF(D157="","Serial missing. ","")&amp;IF(OR(H157="",H157="Undecided"),"No disposition. ","")&amp;IF(AND(H157="Ship",J157="",K157=""),"Shipping but no container/vehicle. ","")&amp;IF(AND(J157&lt;&gt;"",K157&lt;&gt;""),"In both a container and a vehicle. ","")&amp;IF(AND(H157="Ship",L157=""),"No destination. ","")&amp;IF(AND(J157&lt;&gt;"",L157&lt;&gt;"",IFERROR(VLOOKUP(J157,Containers!$A$5:$F$60,6,FALSE()),L157)&lt;&gt;L157),"Destination differs from container. ","")&amp;IF(AND(K157&lt;&gt;"",L157&lt;&gt;"",IFERROR(VLOOKUP(K157,Vehicles!$A$5:$F$60,6,FALSE()),L157)&lt;&gt;L157),"Destination differs from vehicle. ","")&amp;IF(AND(H157="Stay",OR(J157&lt;&gt;"",K157&lt;&gt;"",L157&lt;&gt;"")),"Marked Stay but has a container/vehicle/destination. ","")&amp;IF(G157="Missing","Reported missing. ","")&amp;IF(AND(P157&lt;&gt;"",N(P157)&lt;0),"Service overdue. ","")))</f>
        <v/>
      </c>
      <c r="S157" s="17" t="str">
        <f aca="false">IF(A157="","",IF(CHOOSE(MATCH(Find!$C$4,Lists!$K$2:$K$7,0),F157,E157,J157,K157,L157,G157)=Find!$C$5,MAX(S$4:S156)+1,""))</f>
        <v/>
      </c>
      <c r="T157" s="17" t="str">
        <f aca="false">IF(A157="","",IF(OR(J157=Manifest!$C$4,K157=Manifest!$C$4),MAX(T$4:T156)+1,""))</f>
        <v/>
      </c>
    </row>
    <row r="158" customFormat="false" ht="15" hidden="false" customHeight="false" outlineLevel="0" collapsed="false">
      <c r="C158" s="14"/>
      <c r="E158" s="14"/>
      <c r="F158" s="14"/>
      <c r="G158" s="14"/>
      <c r="H158" s="14"/>
      <c r="M158" s="12"/>
      <c r="O158" s="15" t="str">
        <f aca="false">IF(OR(M158="",N158=""),"",M158+N158)</f>
        <v/>
      </c>
      <c r="P158" s="16" t="str">
        <f aca="true">IF(O158="","",O158-TODAY())</f>
        <v/>
      </c>
      <c r="Q158" s="17" t="str">
        <f aca="false">IF(A158="","",TRIM(IF(E158="","No owner. ","")&amp;IF(F158="","No storage location. ","")&amp;IF(D158="","Serial missing. ","")&amp;IF(OR(H158="",H158="Undecided"),"No disposition. ","")&amp;IF(AND(H158="Ship",J158="",K158=""),"Shipping but no container/vehicle. ","")&amp;IF(AND(J158&lt;&gt;"",K158&lt;&gt;""),"In both a container and a vehicle. ","")&amp;IF(AND(H158="Ship",L158=""),"No destination. ","")&amp;IF(AND(J158&lt;&gt;"",L158&lt;&gt;"",IFERROR(VLOOKUP(J158,Containers!$A$5:$F$60,6,FALSE()),L158)&lt;&gt;L158),"Destination differs from container. ","")&amp;IF(AND(K158&lt;&gt;"",L158&lt;&gt;"",IFERROR(VLOOKUP(K158,Vehicles!$A$5:$F$60,6,FALSE()),L158)&lt;&gt;L158),"Destination differs from vehicle. ","")&amp;IF(AND(H158="Stay",OR(J158&lt;&gt;"",K158&lt;&gt;"",L158&lt;&gt;"")),"Marked Stay but has a container/vehicle/destination. ","")&amp;IF(G158="Missing","Reported missing. ","")&amp;IF(AND(P158&lt;&gt;"",N(P158)&lt;0),"Service overdue. ","")))</f>
        <v/>
      </c>
      <c r="S158" s="17" t="str">
        <f aca="false">IF(A158="","",IF(CHOOSE(MATCH(Find!$C$4,Lists!$K$2:$K$7,0),F158,E158,J158,K158,L158,G158)=Find!$C$5,MAX(S$4:S157)+1,""))</f>
        <v/>
      </c>
      <c r="T158" s="17" t="str">
        <f aca="false">IF(A158="","",IF(OR(J158=Manifest!$C$4,K158=Manifest!$C$4),MAX(T$4:T157)+1,""))</f>
        <v/>
      </c>
    </row>
    <row r="159" customFormat="false" ht="15" hidden="false" customHeight="false" outlineLevel="0" collapsed="false">
      <c r="C159" s="14"/>
      <c r="E159" s="14"/>
      <c r="F159" s="14"/>
      <c r="G159" s="14"/>
      <c r="H159" s="14"/>
      <c r="M159" s="12"/>
      <c r="O159" s="15" t="str">
        <f aca="false">IF(OR(M159="",N159=""),"",M159+N159)</f>
        <v/>
      </c>
      <c r="P159" s="16" t="str">
        <f aca="true">IF(O159="","",O159-TODAY())</f>
        <v/>
      </c>
      <c r="Q159" s="17" t="str">
        <f aca="false">IF(A159="","",TRIM(IF(E159="","No owner. ","")&amp;IF(F159="","No storage location. ","")&amp;IF(D159="","Serial missing. ","")&amp;IF(OR(H159="",H159="Undecided"),"No disposition. ","")&amp;IF(AND(H159="Ship",J159="",K159=""),"Shipping but no container/vehicle. ","")&amp;IF(AND(J159&lt;&gt;"",K159&lt;&gt;""),"In both a container and a vehicle. ","")&amp;IF(AND(H159="Ship",L159=""),"No destination. ","")&amp;IF(AND(J159&lt;&gt;"",L159&lt;&gt;"",IFERROR(VLOOKUP(J159,Containers!$A$5:$F$60,6,FALSE()),L159)&lt;&gt;L159),"Destination differs from container. ","")&amp;IF(AND(K159&lt;&gt;"",L159&lt;&gt;"",IFERROR(VLOOKUP(K159,Vehicles!$A$5:$F$60,6,FALSE()),L159)&lt;&gt;L159),"Destination differs from vehicle. ","")&amp;IF(AND(H159="Stay",OR(J159&lt;&gt;"",K159&lt;&gt;"",L159&lt;&gt;"")),"Marked Stay but has a container/vehicle/destination. ","")&amp;IF(G159="Missing","Reported missing. ","")&amp;IF(AND(P159&lt;&gt;"",N(P159)&lt;0),"Service overdue. ","")))</f>
        <v/>
      </c>
      <c r="S159" s="17" t="str">
        <f aca="false">IF(A159="","",IF(CHOOSE(MATCH(Find!$C$4,Lists!$K$2:$K$7,0),F159,E159,J159,K159,L159,G159)=Find!$C$5,MAX(S$4:S158)+1,""))</f>
        <v/>
      </c>
      <c r="T159" s="17" t="str">
        <f aca="false">IF(A159="","",IF(OR(J159=Manifest!$C$4,K159=Manifest!$C$4),MAX(T$4:T158)+1,""))</f>
        <v/>
      </c>
    </row>
    <row r="160" customFormat="false" ht="15" hidden="false" customHeight="false" outlineLevel="0" collapsed="false">
      <c r="C160" s="14"/>
      <c r="E160" s="14"/>
      <c r="F160" s="14"/>
      <c r="G160" s="14"/>
      <c r="H160" s="14"/>
      <c r="M160" s="12"/>
      <c r="O160" s="15" t="str">
        <f aca="false">IF(OR(M160="",N160=""),"",M160+N160)</f>
        <v/>
      </c>
      <c r="P160" s="16" t="str">
        <f aca="true">IF(O160="","",O160-TODAY())</f>
        <v/>
      </c>
      <c r="Q160" s="17" t="str">
        <f aca="false">IF(A160="","",TRIM(IF(E160="","No owner. ","")&amp;IF(F160="","No storage location. ","")&amp;IF(D160="","Serial missing. ","")&amp;IF(OR(H160="",H160="Undecided"),"No disposition. ","")&amp;IF(AND(H160="Ship",J160="",K160=""),"Shipping but no container/vehicle. ","")&amp;IF(AND(J160&lt;&gt;"",K160&lt;&gt;""),"In both a container and a vehicle. ","")&amp;IF(AND(H160="Ship",L160=""),"No destination. ","")&amp;IF(AND(J160&lt;&gt;"",L160&lt;&gt;"",IFERROR(VLOOKUP(J160,Containers!$A$5:$F$60,6,FALSE()),L160)&lt;&gt;L160),"Destination differs from container. ","")&amp;IF(AND(K160&lt;&gt;"",L160&lt;&gt;"",IFERROR(VLOOKUP(K160,Vehicles!$A$5:$F$60,6,FALSE()),L160)&lt;&gt;L160),"Destination differs from vehicle. ","")&amp;IF(AND(H160="Stay",OR(J160&lt;&gt;"",K160&lt;&gt;"",L160&lt;&gt;"")),"Marked Stay but has a container/vehicle/destination. ","")&amp;IF(G160="Missing","Reported missing. ","")&amp;IF(AND(P160&lt;&gt;"",N(P160)&lt;0),"Service overdue. ","")))</f>
        <v/>
      </c>
      <c r="S160" s="17" t="str">
        <f aca="false">IF(A160="","",IF(CHOOSE(MATCH(Find!$C$4,Lists!$K$2:$K$7,0),F160,E160,J160,K160,L160,G160)=Find!$C$5,MAX(S$4:S159)+1,""))</f>
        <v/>
      </c>
      <c r="T160" s="17" t="str">
        <f aca="false">IF(A160="","",IF(OR(J160=Manifest!$C$4,K160=Manifest!$C$4),MAX(T$4:T159)+1,""))</f>
        <v/>
      </c>
    </row>
    <row r="161" customFormat="false" ht="15" hidden="false" customHeight="false" outlineLevel="0" collapsed="false">
      <c r="C161" s="14"/>
      <c r="E161" s="14"/>
      <c r="F161" s="14"/>
      <c r="G161" s="14"/>
      <c r="H161" s="14"/>
      <c r="M161" s="12"/>
      <c r="O161" s="15" t="str">
        <f aca="false">IF(OR(M161="",N161=""),"",M161+N161)</f>
        <v/>
      </c>
      <c r="P161" s="16" t="str">
        <f aca="true">IF(O161="","",O161-TODAY())</f>
        <v/>
      </c>
      <c r="Q161" s="17" t="str">
        <f aca="false">IF(A161="","",TRIM(IF(E161="","No owner. ","")&amp;IF(F161="","No storage location. ","")&amp;IF(D161="","Serial missing. ","")&amp;IF(OR(H161="",H161="Undecided"),"No disposition. ","")&amp;IF(AND(H161="Ship",J161="",K161=""),"Shipping but no container/vehicle. ","")&amp;IF(AND(J161&lt;&gt;"",K161&lt;&gt;""),"In both a container and a vehicle. ","")&amp;IF(AND(H161="Ship",L161=""),"No destination. ","")&amp;IF(AND(J161&lt;&gt;"",L161&lt;&gt;"",IFERROR(VLOOKUP(J161,Containers!$A$5:$F$60,6,FALSE()),L161)&lt;&gt;L161),"Destination differs from container. ","")&amp;IF(AND(K161&lt;&gt;"",L161&lt;&gt;"",IFERROR(VLOOKUP(K161,Vehicles!$A$5:$F$60,6,FALSE()),L161)&lt;&gt;L161),"Destination differs from vehicle. ","")&amp;IF(AND(H161="Stay",OR(J161&lt;&gt;"",K161&lt;&gt;"",L161&lt;&gt;"")),"Marked Stay but has a container/vehicle/destination. ","")&amp;IF(G161="Missing","Reported missing. ","")&amp;IF(AND(P161&lt;&gt;"",N(P161)&lt;0),"Service overdue. ","")))</f>
        <v/>
      </c>
      <c r="S161" s="17" t="str">
        <f aca="false">IF(A161="","",IF(CHOOSE(MATCH(Find!$C$4,Lists!$K$2:$K$7,0),F161,E161,J161,K161,L161,G161)=Find!$C$5,MAX(S$4:S160)+1,""))</f>
        <v/>
      </c>
      <c r="T161" s="17" t="str">
        <f aca="false">IF(A161="","",IF(OR(J161=Manifest!$C$4,K161=Manifest!$C$4),MAX(T$4:T160)+1,""))</f>
        <v/>
      </c>
    </row>
    <row r="162" customFormat="false" ht="15" hidden="false" customHeight="false" outlineLevel="0" collapsed="false">
      <c r="C162" s="14"/>
      <c r="E162" s="14"/>
      <c r="F162" s="14"/>
      <c r="G162" s="14"/>
      <c r="H162" s="14"/>
      <c r="M162" s="12"/>
      <c r="O162" s="15" t="str">
        <f aca="false">IF(OR(M162="",N162=""),"",M162+N162)</f>
        <v/>
      </c>
      <c r="P162" s="16" t="str">
        <f aca="true">IF(O162="","",O162-TODAY())</f>
        <v/>
      </c>
      <c r="Q162" s="17" t="str">
        <f aca="false">IF(A162="","",TRIM(IF(E162="","No owner. ","")&amp;IF(F162="","No storage location. ","")&amp;IF(D162="","Serial missing. ","")&amp;IF(OR(H162="",H162="Undecided"),"No disposition. ","")&amp;IF(AND(H162="Ship",J162="",K162=""),"Shipping but no container/vehicle. ","")&amp;IF(AND(J162&lt;&gt;"",K162&lt;&gt;""),"In both a container and a vehicle. ","")&amp;IF(AND(H162="Ship",L162=""),"No destination. ","")&amp;IF(AND(J162&lt;&gt;"",L162&lt;&gt;"",IFERROR(VLOOKUP(J162,Containers!$A$5:$F$60,6,FALSE()),L162)&lt;&gt;L162),"Destination differs from container. ","")&amp;IF(AND(K162&lt;&gt;"",L162&lt;&gt;"",IFERROR(VLOOKUP(K162,Vehicles!$A$5:$F$60,6,FALSE()),L162)&lt;&gt;L162),"Destination differs from vehicle. ","")&amp;IF(AND(H162="Stay",OR(J162&lt;&gt;"",K162&lt;&gt;"",L162&lt;&gt;"")),"Marked Stay but has a container/vehicle/destination. ","")&amp;IF(G162="Missing","Reported missing. ","")&amp;IF(AND(P162&lt;&gt;"",N(P162)&lt;0),"Service overdue. ","")))</f>
        <v/>
      </c>
      <c r="S162" s="17" t="str">
        <f aca="false">IF(A162="","",IF(CHOOSE(MATCH(Find!$C$4,Lists!$K$2:$K$7,0),F162,E162,J162,K162,L162,G162)=Find!$C$5,MAX(S$4:S161)+1,""))</f>
        <v/>
      </c>
      <c r="T162" s="17" t="str">
        <f aca="false">IF(A162="","",IF(OR(J162=Manifest!$C$4,K162=Manifest!$C$4),MAX(T$4:T161)+1,""))</f>
        <v/>
      </c>
    </row>
    <row r="163" customFormat="false" ht="15" hidden="false" customHeight="false" outlineLevel="0" collapsed="false">
      <c r="C163" s="14"/>
      <c r="E163" s="14"/>
      <c r="F163" s="14"/>
      <c r="G163" s="14"/>
      <c r="H163" s="14"/>
      <c r="M163" s="12"/>
      <c r="O163" s="15" t="str">
        <f aca="false">IF(OR(M163="",N163=""),"",M163+N163)</f>
        <v/>
      </c>
      <c r="P163" s="16" t="str">
        <f aca="true">IF(O163="","",O163-TODAY())</f>
        <v/>
      </c>
      <c r="Q163" s="17" t="str">
        <f aca="false">IF(A163="","",TRIM(IF(E163="","No owner. ","")&amp;IF(F163="","No storage location. ","")&amp;IF(D163="","Serial missing. ","")&amp;IF(OR(H163="",H163="Undecided"),"No disposition. ","")&amp;IF(AND(H163="Ship",J163="",K163=""),"Shipping but no container/vehicle. ","")&amp;IF(AND(J163&lt;&gt;"",K163&lt;&gt;""),"In both a container and a vehicle. ","")&amp;IF(AND(H163="Ship",L163=""),"No destination. ","")&amp;IF(AND(J163&lt;&gt;"",L163&lt;&gt;"",IFERROR(VLOOKUP(J163,Containers!$A$5:$F$60,6,FALSE()),L163)&lt;&gt;L163),"Destination differs from container. ","")&amp;IF(AND(K163&lt;&gt;"",L163&lt;&gt;"",IFERROR(VLOOKUP(K163,Vehicles!$A$5:$F$60,6,FALSE()),L163)&lt;&gt;L163),"Destination differs from vehicle. ","")&amp;IF(AND(H163="Stay",OR(J163&lt;&gt;"",K163&lt;&gt;"",L163&lt;&gt;"")),"Marked Stay but has a container/vehicle/destination. ","")&amp;IF(G163="Missing","Reported missing. ","")&amp;IF(AND(P163&lt;&gt;"",N(P163)&lt;0),"Service overdue. ","")))</f>
        <v/>
      </c>
      <c r="S163" s="17" t="str">
        <f aca="false">IF(A163="","",IF(CHOOSE(MATCH(Find!$C$4,Lists!$K$2:$K$7,0),F163,E163,J163,K163,L163,G163)=Find!$C$5,MAX(S$4:S162)+1,""))</f>
        <v/>
      </c>
      <c r="T163" s="17" t="str">
        <f aca="false">IF(A163="","",IF(OR(J163=Manifest!$C$4,K163=Manifest!$C$4),MAX(T$4:T162)+1,""))</f>
        <v/>
      </c>
    </row>
    <row r="164" customFormat="false" ht="15" hidden="false" customHeight="false" outlineLevel="0" collapsed="false">
      <c r="C164" s="14"/>
      <c r="E164" s="14"/>
      <c r="F164" s="14"/>
      <c r="G164" s="14"/>
      <c r="H164" s="14"/>
      <c r="M164" s="12"/>
      <c r="O164" s="15" t="str">
        <f aca="false">IF(OR(M164="",N164=""),"",M164+N164)</f>
        <v/>
      </c>
      <c r="P164" s="16" t="str">
        <f aca="true">IF(O164="","",O164-TODAY())</f>
        <v/>
      </c>
      <c r="Q164" s="17" t="str">
        <f aca="false">IF(A164="","",TRIM(IF(E164="","No owner. ","")&amp;IF(F164="","No storage location. ","")&amp;IF(D164="","Serial missing. ","")&amp;IF(OR(H164="",H164="Undecided"),"No disposition. ","")&amp;IF(AND(H164="Ship",J164="",K164=""),"Shipping but no container/vehicle. ","")&amp;IF(AND(J164&lt;&gt;"",K164&lt;&gt;""),"In both a container and a vehicle. ","")&amp;IF(AND(H164="Ship",L164=""),"No destination. ","")&amp;IF(AND(J164&lt;&gt;"",L164&lt;&gt;"",IFERROR(VLOOKUP(J164,Containers!$A$5:$F$60,6,FALSE()),L164)&lt;&gt;L164),"Destination differs from container. ","")&amp;IF(AND(K164&lt;&gt;"",L164&lt;&gt;"",IFERROR(VLOOKUP(K164,Vehicles!$A$5:$F$60,6,FALSE()),L164)&lt;&gt;L164),"Destination differs from vehicle. ","")&amp;IF(AND(H164="Stay",OR(J164&lt;&gt;"",K164&lt;&gt;"",L164&lt;&gt;"")),"Marked Stay but has a container/vehicle/destination. ","")&amp;IF(G164="Missing","Reported missing. ","")&amp;IF(AND(P164&lt;&gt;"",N(P164)&lt;0),"Service overdue. ","")))</f>
        <v/>
      </c>
      <c r="S164" s="17" t="str">
        <f aca="false">IF(A164="","",IF(CHOOSE(MATCH(Find!$C$4,Lists!$K$2:$K$7,0),F164,E164,J164,K164,L164,G164)=Find!$C$5,MAX(S$4:S163)+1,""))</f>
        <v/>
      </c>
      <c r="T164" s="17" t="str">
        <f aca="false">IF(A164="","",IF(OR(J164=Manifest!$C$4,K164=Manifest!$C$4),MAX(T$4:T163)+1,""))</f>
        <v/>
      </c>
    </row>
    <row r="165" customFormat="false" ht="15" hidden="false" customHeight="false" outlineLevel="0" collapsed="false">
      <c r="C165" s="14"/>
      <c r="E165" s="14"/>
      <c r="F165" s="14"/>
      <c r="G165" s="14"/>
      <c r="H165" s="14"/>
      <c r="M165" s="12"/>
      <c r="O165" s="15" t="str">
        <f aca="false">IF(OR(M165="",N165=""),"",M165+N165)</f>
        <v/>
      </c>
      <c r="P165" s="16" t="str">
        <f aca="true">IF(O165="","",O165-TODAY())</f>
        <v/>
      </c>
      <c r="Q165" s="17" t="str">
        <f aca="false">IF(A165="","",TRIM(IF(E165="","No owner. ","")&amp;IF(F165="","No storage location. ","")&amp;IF(D165="","Serial missing. ","")&amp;IF(OR(H165="",H165="Undecided"),"No disposition. ","")&amp;IF(AND(H165="Ship",J165="",K165=""),"Shipping but no container/vehicle. ","")&amp;IF(AND(J165&lt;&gt;"",K165&lt;&gt;""),"In both a container and a vehicle. ","")&amp;IF(AND(H165="Ship",L165=""),"No destination. ","")&amp;IF(AND(J165&lt;&gt;"",L165&lt;&gt;"",IFERROR(VLOOKUP(J165,Containers!$A$5:$F$60,6,FALSE()),L165)&lt;&gt;L165),"Destination differs from container. ","")&amp;IF(AND(K165&lt;&gt;"",L165&lt;&gt;"",IFERROR(VLOOKUP(K165,Vehicles!$A$5:$F$60,6,FALSE()),L165)&lt;&gt;L165),"Destination differs from vehicle. ","")&amp;IF(AND(H165="Stay",OR(J165&lt;&gt;"",K165&lt;&gt;"",L165&lt;&gt;"")),"Marked Stay but has a container/vehicle/destination. ","")&amp;IF(G165="Missing","Reported missing. ","")&amp;IF(AND(P165&lt;&gt;"",N(P165)&lt;0),"Service overdue. ","")))</f>
        <v/>
      </c>
      <c r="S165" s="17" t="str">
        <f aca="false">IF(A165="","",IF(CHOOSE(MATCH(Find!$C$4,Lists!$K$2:$K$7,0),F165,E165,J165,K165,L165,G165)=Find!$C$5,MAX(S$4:S164)+1,""))</f>
        <v/>
      </c>
      <c r="T165" s="17" t="str">
        <f aca="false">IF(A165="","",IF(OR(J165=Manifest!$C$4,K165=Manifest!$C$4),MAX(T$4:T164)+1,""))</f>
        <v/>
      </c>
    </row>
    <row r="166" customFormat="false" ht="15" hidden="false" customHeight="false" outlineLevel="0" collapsed="false">
      <c r="C166" s="14"/>
      <c r="E166" s="14"/>
      <c r="F166" s="14"/>
      <c r="G166" s="14"/>
      <c r="H166" s="14"/>
      <c r="M166" s="12"/>
      <c r="O166" s="15" t="str">
        <f aca="false">IF(OR(M166="",N166=""),"",M166+N166)</f>
        <v/>
      </c>
      <c r="P166" s="16" t="str">
        <f aca="true">IF(O166="","",O166-TODAY())</f>
        <v/>
      </c>
      <c r="Q166" s="17" t="str">
        <f aca="false">IF(A166="","",TRIM(IF(E166="","No owner. ","")&amp;IF(F166="","No storage location. ","")&amp;IF(D166="","Serial missing. ","")&amp;IF(OR(H166="",H166="Undecided"),"No disposition. ","")&amp;IF(AND(H166="Ship",J166="",K166=""),"Shipping but no container/vehicle. ","")&amp;IF(AND(J166&lt;&gt;"",K166&lt;&gt;""),"In both a container and a vehicle. ","")&amp;IF(AND(H166="Ship",L166=""),"No destination. ","")&amp;IF(AND(J166&lt;&gt;"",L166&lt;&gt;"",IFERROR(VLOOKUP(J166,Containers!$A$5:$F$60,6,FALSE()),L166)&lt;&gt;L166),"Destination differs from container. ","")&amp;IF(AND(K166&lt;&gt;"",L166&lt;&gt;"",IFERROR(VLOOKUP(K166,Vehicles!$A$5:$F$60,6,FALSE()),L166)&lt;&gt;L166),"Destination differs from vehicle. ","")&amp;IF(AND(H166="Stay",OR(J166&lt;&gt;"",K166&lt;&gt;"",L166&lt;&gt;"")),"Marked Stay but has a container/vehicle/destination. ","")&amp;IF(G166="Missing","Reported missing. ","")&amp;IF(AND(P166&lt;&gt;"",N(P166)&lt;0),"Service overdue. ","")))</f>
        <v/>
      </c>
      <c r="S166" s="17" t="str">
        <f aca="false">IF(A166="","",IF(CHOOSE(MATCH(Find!$C$4,Lists!$K$2:$K$7,0),F166,E166,J166,K166,L166,G166)=Find!$C$5,MAX(S$4:S165)+1,""))</f>
        <v/>
      </c>
      <c r="T166" s="17" t="str">
        <f aca="false">IF(A166="","",IF(OR(J166=Manifest!$C$4,K166=Manifest!$C$4),MAX(T$4:T165)+1,""))</f>
        <v/>
      </c>
    </row>
    <row r="167" customFormat="false" ht="15" hidden="false" customHeight="false" outlineLevel="0" collapsed="false">
      <c r="C167" s="14"/>
      <c r="E167" s="14"/>
      <c r="F167" s="14"/>
      <c r="G167" s="14"/>
      <c r="H167" s="14"/>
      <c r="M167" s="12"/>
      <c r="O167" s="15" t="str">
        <f aca="false">IF(OR(M167="",N167=""),"",M167+N167)</f>
        <v/>
      </c>
      <c r="P167" s="16" t="str">
        <f aca="true">IF(O167="","",O167-TODAY())</f>
        <v/>
      </c>
      <c r="Q167" s="17" t="str">
        <f aca="false">IF(A167="","",TRIM(IF(E167="","No owner. ","")&amp;IF(F167="","No storage location. ","")&amp;IF(D167="","Serial missing. ","")&amp;IF(OR(H167="",H167="Undecided"),"No disposition. ","")&amp;IF(AND(H167="Ship",J167="",K167=""),"Shipping but no container/vehicle. ","")&amp;IF(AND(J167&lt;&gt;"",K167&lt;&gt;""),"In both a container and a vehicle. ","")&amp;IF(AND(H167="Ship",L167=""),"No destination. ","")&amp;IF(AND(J167&lt;&gt;"",L167&lt;&gt;"",IFERROR(VLOOKUP(J167,Containers!$A$5:$F$60,6,FALSE()),L167)&lt;&gt;L167),"Destination differs from container. ","")&amp;IF(AND(K167&lt;&gt;"",L167&lt;&gt;"",IFERROR(VLOOKUP(K167,Vehicles!$A$5:$F$60,6,FALSE()),L167)&lt;&gt;L167),"Destination differs from vehicle. ","")&amp;IF(AND(H167="Stay",OR(J167&lt;&gt;"",K167&lt;&gt;"",L167&lt;&gt;"")),"Marked Stay but has a container/vehicle/destination. ","")&amp;IF(G167="Missing","Reported missing. ","")&amp;IF(AND(P167&lt;&gt;"",N(P167)&lt;0),"Service overdue. ","")))</f>
        <v/>
      </c>
      <c r="S167" s="17" t="str">
        <f aca="false">IF(A167="","",IF(CHOOSE(MATCH(Find!$C$4,Lists!$K$2:$K$7,0),F167,E167,J167,K167,L167,G167)=Find!$C$5,MAX(S$4:S166)+1,""))</f>
        <v/>
      </c>
      <c r="T167" s="17" t="str">
        <f aca="false">IF(A167="","",IF(OR(J167=Manifest!$C$4,K167=Manifest!$C$4),MAX(T$4:T166)+1,""))</f>
        <v/>
      </c>
    </row>
    <row r="168" customFormat="false" ht="15" hidden="false" customHeight="false" outlineLevel="0" collapsed="false">
      <c r="C168" s="14"/>
      <c r="E168" s="14"/>
      <c r="F168" s="14"/>
      <c r="G168" s="14"/>
      <c r="H168" s="14"/>
      <c r="M168" s="12"/>
      <c r="O168" s="15" t="str">
        <f aca="false">IF(OR(M168="",N168=""),"",M168+N168)</f>
        <v/>
      </c>
      <c r="P168" s="16" t="str">
        <f aca="true">IF(O168="","",O168-TODAY())</f>
        <v/>
      </c>
      <c r="Q168" s="17" t="str">
        <f aca="false">IF(A168="","",TRIM(IF(E168="","No owner. ","")&amp;IF(F168="","No storage location. ","")&amp;IF(D168="","Serial missing. ","")&amp;IF(OR(H168="",H168="Undecided"),"No disposition. ","")&amp;IF(AND(H168="Ship",J168="",K168=""),"Shipping but no container/vehicle. ","")&amp;IF(AND(J168&lt;&gt;"",K168&lt;&gt;""),"In both a container and a vehicle. ","")&amp;IF(AND(H168="Ship",L168=""),"No destination. ","")&amp;IF(AND(J168&lt;&gt;"",L168&lt;&gt;"",IFERROR(VLOOKUP(J168,Containers!$A$5:$F$60,6,FALSE()),L168)&lt;&gt;L168),"Destination differs from container. ","")&amp;IF(AND(K168&lt;&gt;"",L168&lt;&gt;"",IFERROR(VLOOKUP(K168,Vehicles!$A$5:$F$60,6,FALSE()),L168)&lt;&gt;L168),"Destination differs from vehicle. ","")&amp;IF(AND(H168="Stay",OR(J168&lt;&gt;"",K168&lt;&gt;"",L168&lt;&gt;"")),"Marked Stay but has a container/vehicle/destination. ","")&amp;IF(G168="Missing","Reported missing. ","")&amp;IF(AND(P168&lt;&gt;"",N(P168)&lt;0),"Service overdue. ","")))</f>
        <v/>
      </c>
      <c r="S168" s="17" t="str">
        <f aca="false">IF(A168="","",IF(CHOOSE(MATCH(Find!$C$4,Lists!$K$2:$K$7,0),F168,E168,J168,K168,L168,G168)=Find!$C$5,MAX(S$4:S167)+1,""))</f>
        <v/>
      </c>
      <c r="T168" s="17" t="str">
        <f aca="false">IF(A168="","",IF(OR(J168=Manifest!$C$4,K168=Manifest!$C$4),MAX(T$4:T167)+1,""))</f>
        <v/>
      </c>
    </row>
    <row r="169" customFormat="false" ht="15" hidden="false" customHeight="false" outlineLevel="0" collapsed="false">
      <c r="C169" s="14"/>
      <c r="E169" s="14"/>
      <c r="F169" s="14"/>
      <c r="G169" s="14"/>
      <c r="H169" s="14"/>
      <c r="M169" s="12"/>
      <c r="O169" s="15" t="str">
        <f aca="false">IF(OR(M169="",N169=""),"",M169+N169)</f>
        <v/>
      </c>
      <c r="P169" s="16" t="str">
        <f aca="true">IF(O169="","",O169-TODAY())</f>
        <v/>
      </c>
      <c r="Q169" s="17" t="str">
        <f aca="false">IF(A169="","",TRIM(IF(E169="","No owner. ","")&amp;IF(F169="","No storage location. ","")&amp;IF(D169="","Serial missing. ","")&amp;IF(OR(H169="",H169="Undecided"),"No disposition. ","")&amp;IF(AND(H169="Ship",J169="",K169=""),"Shipping but no container/vehicle. ","")&amp;IF(AND(J169&lt;&gt;"",K169&lt;&gt;""),"In both a container and a vehicle. ","")&amp;IF(AND(H169="Ship",L169=""),"No destination. ","")&amp;IF(AND(J169&lt;&gt;"",L169&lt;&gt;"",IFERROR(VLOOKUP(J169,Containers!$A$5:$F$60,6,FALSE()),L169)&lt;&gt;L169),"Destination differs from container. ","")&amp;IF(AND(K169&lt;&gt;"",L169&lt;&gt;"",IFERROR(VLOOKUP(K169,Vehicles!$A$5:$F$60,6,FALSE()),L169)&lt;&gt;L169),"Destination differs from vehicle. ","")&amp;IF(AND(H169="Stay",OR(J169&lt;&gt;"",K169&lt;&gt;"",L169&lt;&gt;"")),"Marked Stay but has a container/vehicle/destination. ","")&amp;IF(G169="Missing","Reported missing. ","")&amp;IF(AND(P169&lt;&gt;"",N(P169)&lt;0),"Service overdue. ","")))</f>
        <v/>
      </c>
      <c r="S169" s="17" t="str">
        <f aca="false">IF(A169="","",IF(CHOOSE(MATCH(Find!$C$4,Lists!$K$2:$K$7,0),F169,E169,J169,K169,L169,G169)=Find!$C$5,MAX(S$4:S168)+1,""))</f>
        <v/>
      </c>
      <c r="T169" s="17" t="str">
        <f aca="false">IF(A169="","",IF(OR(J169=Manifest!$C$4,K169=Manifest!$C$4),MAX(T$4:T168)+1,""))</f>
        <v/>
      </c>
    </row>
    <row r="170" customFormat="false" ht="15" hidden="false" customHeight="false" outlineLevel="0" collapsed="false">
      <c r="C170" s="14"/>
      <c r="E170" s="14"/>
      <c r="F170" s="14"/>
      <c r="G170" s="14"/>
      <c r="H170" s="14"/>
      <c r="M170" s="12"/>
      <c r="O170" s="15" t="str">
        <f aca="false">IF(OR(M170="",N170=""),"",M170+N170)</f>
        <v/>
      </c>
      <c r="P170" s="16" t="str">
        <f aca="true">IF(O170="","",O170-TODAY())</f>
        <v/>
      </c>
      <c r="Q170" s="17" t="str">
        <f aca="false">IF(A170="","",TRIM(IF(E170="","No owner. ","")&amp;IF(F170="","No storage location. ","")&amp;IF(D170="","Serial missing. ","")&amp;IF(OR(H170="",H170="Undecided"),"No disposition. ","")&amp;IF(AND(H170="Ship",J170="",K170=""),"Shipping but no container/vehicle. ","")&amp;IF(AND(J170&lt;&gt;"",K170&lt;&gt;""),"In both a container and a vehicle. ","")&amp;IF(AND(H170="Ship",L170=""),"No destination. ","")&amp;IF(AND(J170&lt;&gt;"",L170&lt;&gt;"",IFERROR(VLOOKUP(J170,Containers!$A$5:$F$60,6,FALSE()),L170)&lt;&gt;L170),"Destination differs from container. ","")&amp;IF(AND(K170&lt;&gt;"",L170&lt;&gt;"",IFERROR(VLOOKUP(K170,Vehicles!$A$5:$F$60,6,FALSE()),L170)&lt;&gt;L170),"Destination differs from vehicle. ","")&amp;IF(AND(H170="Stay",OR(J170&lt;&gt;"",K170&lt;&gt;"",L170&lt;&gt;"")),"Marked Stay but has a container/vehicle/destination. ","")&amp;IF(G170="Missing","Reported missing. ","")&amp;IF(AND(P170&lt;&gt;"",N(P170)&lt;0),"Service overdue. ","")))</f>
        <v/>
      </c>
      <c r="S170" s="17" t="str">
        <f aca="false">IF(A170="","",IF(CHOOSE(MATCH(Find!$C$4,Lists!$K$2:$K$7,0),F170,E170,J170,K170,L170,G170)=Find!$C$5,MAX(S$4:S169)+1,""))</f>
        <v/>
      </c>
      <c r="T170" s="17" t="str">
        <f aca="false">IF(A170="","",IF(OR(J170=Manifest!$C$4,K170=Manifest!$C$4),MAX(T$4:T169)+1,""))</f>
        <v/>
      </c>
    </row>
    <row r="171" customFormat="false" ht="15" hidden="false" customHeight="false" outlineLevel="0" collapsed="false">
      <c r="C171" s="14"/>
      <c r="E171" s="14"/>
      <c r="F171" s="14"/>
      <c r="G171" s="14"/>
      <c r="H171" s="14"/>
      <c r="M171" s="12"/>
      <c r="O171" s="15" t="str">
        <f aca="false">IF(OR(M171="",N171=""),"",M171+N171)</f>
        <v/>
      </c>
      <c r="P171" s="16" t="str">
        <f aca="true">IF(O171="","",O171-TODAY())</f>
        <v/>
      </c>
      <c r="Q171" s="17" t="str">
        <f aca="false">IF(A171="","",TRIM(IF(E171="","No owner. ","")&amp;IF(F171="","No storage location. ","")&amp;IF(D171="","Serial missing. ","")&amp;IF(OR(H171="",H171="Undecided"),"No disposition. ","")&amp;IF(AND(H171="Ship",J171="",K171=""),"Shipping but no container/vehicle. ","")&amp;IF(AND(J171&lt;&gt;"",K171&lt;&gt;""),"In both a container and a vehicle. ","")&amp;IF(AND(H171="Ship",L171=""),"No destination. ","")&amp;IF(AND(J171&lt;&gt;"",L171&lt;&gt;"",IFERROR(VLOOKUP(J171,Containers!$A$5:$F$60,6,FALSE()),L171)&lt;&gt;L171),"Destination differs from container. ","")&amp;IF(AND(K171&lt;&gt;"",L171&lt;&gt;"",IFERROR(VLOOKUP(K171,Vehicles!$A$5:$F$60,6,FALSE()),L171)&lt;&gt;L171),"Destination differs from vehicle. ","")&amp;IF(AND(H171="Stay",OR(J171&lt;&gt;"",K171&lt;&gt;"",L171&lt;&gt;"")),"Marked Stay but has a container/vehicle/destination. ","")&amp;IF(G171="Missing","Reported missing. ","")&amp;IF(AND(P171&lt;&gt;"",N(P171)&lt;0),"Service overdue. ","")))</f>
        <v/>
      </c>
      <c r="S171" s="17" t="str">
        <f aca="false">IF(A171="","",IF(CHOOSE(MATCH(Find!$C$4,Lists!$K$2:$K$7,0),F171,E171,J171,K171,L171,G171)=Find!$C$5,MAX(S$4:S170)+1,""))</f>
        <v/>
      </c>
      <c r="T171" s="17" t="str">
        <f aca="false">IF(A171="","",IF(OR(J171=Manifest!$C$4,K171=Manifest!$C$4),MAX(T$4:T170)+1,""))</f>
        <v/>
      </c>
    </row>
    <row r="172" customFormat="false" ht="15" hidden="false" customHeight="false" outlineLevel="0" collapsed="false">
      <c r="C172" s="14"/>
      <c r="E172" s="14"/>
      <c r="F172" s="14"/>
      <c r="G172" s="14"/>
      <c r="H172" s="14"/>
      <c r="M172" s="12"/>
      <c r="O172" s="15" t="str">
        <f aca="false">IF(OR(M172="",N172=""),"",M172+N172)</f>
        <v/>
      </c>
      <c r="P172" s="16" t="str">
        <f aca="true">IF(O172="","",O172-TODAY())</f>
        <v/>
      </c>
      <c r="Q172" s="17" t="str">
        <f aca="false">IF(A172="","",TRIM(IF(E172="","No owner. ","")&amp;IF(F172="","No storage location. ","")&amp;IF(D172="","Serial missing. ","")&amp;IF(OR(H172="",H172="Undecided"),"No disposition. ","")&amp;IF(AND(H172="Ship",J172="",K172=""),"Shipping but no container/vehicle. ","")&amp;IF(AND(J172&lt;&gt;"",K172&lt;&gt;""),"In both a container and a vehicle. ","")&amp;IF(AND(H172="Ship",L172=""),"No destination. ","")&amp;IF(AND(J172&lt;&gt;"",L172&lt;&gt;"",IFERROR(VLOOKUP(J172,Containers!$A$5:$F$60,6,FALSE()),L172)&lt;&gt;L172),"Destination differs from container. ","")&amp;IF(AND(K172&lt;&gt;"",L172&lt;&gt;"",IFERROR(VLOOKUP(K172,Vehicles!$A$5:$F$60,6,FALSE()),L172)&lt;&gt;L172),"Destination differs from vehicle. ","")&amp;IF(AND(H172="Stay",OR(J172&lt;&gt;"",K172&lt;&gt;"",L172&lt;&gt;"")),"Marked Stay but has a container/vehicle/destination. ","")&amp;IF(G172="Missing","Reported missing. ","")&amp;IF(AND(P172&lt;&gt;"",N(P172)&lt;0),"Service overdue. ","")))</f>
        <v/>
      </c>
      <c r="S172" s="17" t="str">
        <f aca="false">IF(A172="","",IF(CHOOSE(MATCH(Find!$C$4,Lists!$K$2:$K$7,0),F172,E172,J172,K172,L172,G172)=Find!$C$5,MAX(S$4:S171)+1,""))</f>
        <v/>
      </c>
      <c r="T172" s="17" t="str">
        <f aca="false">IF(A172="","",IF(OR(J172=Manifest!$C$4,K172=Manifest!$C$4),MAX(T$4:T171)+1,""))</f>
        <v/>
      </c>
    </row>
    <row r="173" customFormat="false" ht="15" hidden="false" customHeight="false" outlineLevel="0" collapsed="false">
      <c r="C173" s="14"/>
      <c r="E173" s="14"/>
      <c r="F173" s="14"/>
      <c r="G173" s="14"/>
      <c r="H173" s="14"/>
      <c r="M173" s="12"/>
      <c r="O173" s="15" t="str">
        <f aca="false">IF(OR(M173="",N173=""),"",M173+N173)</f>
        <v/>
      </c>
      <c r="P173" s="16" t="str">
        <f aca="true">IF(O173="","",O173-TODAY())</f>
        <v/>
      </c>
      <c r="Q173" s="17" t="str">
        <f aca="false">IF(A173="","",TRIM(IF(E173="","No owner. ","")&amp;IF(F173="","No storage location. ","")&amp;IF(D173="","Serial missing. ","")&amp;IF(OR(H173="",H173="Undecided"),"No disposition. ","")&amp;IF(AND(H173="Ship",J173="",K173=""),"Shipping but no container/vehicle. ","")&amp;IF(AND(J173&lt;&gt;"",K173&lt;&gt;""),"In both a container and a vehicle. ","")&amp;IF(AND(H173="Ship",L173=""),"No destination. ","")&amp;IF(AND(J173&lt;&gt;"",L173&lt;&gt;"",IFERROR(VLOOKUP(J173,Containers!$A$5:$F$60,6,FALSE()),L173)&lt;&gt;L173),"Destination differs from container. ","")&amp;IF(AND(K173&lt;&gt;"",L173&lt;&gt;"",IFERROR(VLOOKUP(K173,Vehicles!$A$5:$F$60,6,FALSE()),L173)&lt;&gt;L173),"Destination differs from vehicle. ","")&amp;IF(AND(H173="Stay",OR(J173&lt;&gt;"",K173&lt;&gt;"",L173&lt;&gt;"")),"Marked Stay but has a container/vehicle/destination. ","")&amp;IF(G173="Missing","Reported missing. ","")&amp;IF(AND(P173&lt;&gt;"",N(P173)&lt;0),"Service overdue. ","")))</f>
        <v/>
      </c>
      <c r="S173" s="17" t="str">
        <f aca="false">IF(A173="","",IF(CHOOSE(MATCH(Find!$C$4,Lists!$K$2:$K$7,0),F173,E173,J173,K173,L173,G173)=Find!$C$5,MAX(S$4:S172)+1,""))</f>
        <v/>
      </c>
      <c r="T173" s="17" t="str">
        <f aca="false">IF(A173="","",IF(OR(J173=Manifest!$C$4,K173=Manifest!$C$4),MAX(T$4:T172)+1,""))</f>
        <v/>
      </c>
    </row>
    <row r="174" customFormat="false" ht="15" hidden="false" customHeight="false" outlineLevel="0" collapsed="false">
      <c r="C174" s="14"/>
      <c r="E174" s="14"/>
      <c r="F174" s="14"/>
      <c r="G174" s="14"/>
      <c r="H174" s="14"/>
      <c r="M174" s="12"/>
      <c r="O174" s="15" t="str">
        <f aca="false">IF(OR(M174="",N174=""),"",M174+N174)</f>
        <v/>
      </c>
      <c r="P174" s="16" t="str">
        <f aca="true">IF(O174="","",O174-TODAY())</f>
        <v/>
      </c>
      <c r="Q174" s="17" t="str">
        <f aca="false">IF(A174="","",TRIM(IF(E174="","No owner. ","")&amp;IF(F174="","No storage location. ","")&amp;IF(D174="","Serial missing. ","")&amp;IF(OR(H174="",H174="Undecided"),"No disposition. ","")&amp;IF(AND(H174="Ship",J174="",K174=""),"Shipping but no container/vehicle. ","")&amp;IF(AND(J174&lt;&gt;"",K174&lt;&gt;""),"In both a container and a vehicle. ","")&amp;IF(AND(H174="Ship",L174=""),"No destination. ","")&amp;IF(AND(J174&lt;&gt;"",L174&lt;&gt;"",IFERROR(VLOOKUP(J174,Containers!$A$5:$F$60,6,FALSE()),L174)&lt;&gt;L174),"Destination differs from container. ","")&amp;IF(AND(K174&lt;&gt;"",L174&lt;&gt;"",IFERROR(VLOOKUP(K174,Vehicles!$A$5:$F$60,6,FALSE()),L174)&lt;&gt;L174),"Destination differs from vehicle. ","")&amp;IF(AND(H174="Stay",OR(J174&lt;&gt;"",K174&lt;&gt;"",L174&lt;&gt;"")),"Marked Stay but has a container/vehicle/destination. ","")&amp;IF(G174="Missing","Reported missing. ","")&amp;IF(AND(P174&lt;&gt;"",N(P174)&lt;0),"Service overdue. ","")))</f>
        <v/>
      </c>
      <c r="S174" s="17" t="str">
        <f aca="false">IF(A174="","",IF(CHOOSE(MATCH(Find!$C$4,Lists!$K$2:$K$7,0),F174,E174,J174,K174,L174,G174)=Find!$C$5,MAX(S$4:S173)+1,""))</f>
        <v/>
      </c>
      <c r="T174" s="17" t="str">
        <f aca="false">IF(A174="","",IF(OR(J174=Manifest!$C$4,K174=Manifest!$C$4),MAX(T$4:T173)+1,""))</f>
        <v/>
      </c>
    </row>
    <row r="175" customFormat="false" ht="15" hidden="false" customHeight="false" outlineLevel="0" collapsed="false">
      <c r="C175" s="14"/>
      <c r="E175" s="14"/>
      <c r="F175" s="14"/>
      <c r="G175" s="14"/>
      <c r="H175" s="14"/>
      <c r="M175" s="12"/>
      <c r="O175" s="15" t="str">
        <f aca="false">IF(OR(M175="",N175=""),"",M175+N175)</f>
        <v/>
      </c>
      <c r="P175" s="16" t="str">
        <f aca="true">IF(O175="","",O175-TODAY())</f>
        <v/>
      </c>
      <c r="Q175" s="17" t="str">
        <f aca="false">IF(A175="","",TRIM(IF(E175="","No owner. ","")&amp;IF(F175="","No storage location. ","")&amp;IF(D175="","Serial missing. ","")&amp;IF(OR(H175="",H175="Undecided"),"No disposition. ","")&amp;IF(AND(H175="Ship",J175="",K175=""),"Shipping but no container/vehicle. ","")&amp;IF(AND(J175&lt;&gt;"",K175&lt;&gt;""),"In both a container and a vehicle. ","")&amp;IF(AND(H175="Ship",L175=""),"No destination. ","")&amp;IF(AND(J175&lt;&gt;"",L175&lt;&gt;"",IFERROR(VLOOKUP(J175,Containers!$A$5:$F$60,6,FALSE()),L175)&lt;&gt;L175),"Destination differs from container. ","")&amp;IF(AND(K175&lt;&gt;"",L175&lt;&gt;"",IFERROR(VLOOKUP(K175,Vehicles!$A$5:$F$60,6,FALSE()),L175)&lt;&gt;L175),"Destination differs from vehicle. ","")&amp;IF(AND(H175="Stay",OR(J175&lt;&gt;"",K175&lt;&gt;"",L175&lt;&gt;"")),"Marked Stay but has a container/vehicle/destination. ","")&amp;IF(G175="Missing","Reported missing. ","")&amp;IF(AND(P175&lt;&gt;"",N(P175)&lt;0),"Service overdue. ","")))</f>
        <v/>
      </c>
      <c r="S175" s="17" t="str">
        <f aca="false">IF(A175="","",IF(CHOOSE(MATCH(Find!$C$4,Lists!$K$2:$K$7,0),F175,E175,J175,K175,L175,G175)=Find!$C$5,MAX(S$4:S174)+1,""))</f>
        <v/>
      </c>
      <c r="T175" s="17" t="str">
        <f aca="false">IF(A175="","",IF(OR(J175=Manifest!$C$4,K175=Manifest!$C$4),MAX(T$4:T174)+1,""))</f>
        <v/>
      </c>
    </row>
    <row r="176" customFormat="false" ht="15" hidden="false" customHeight="false" outlineLevel="0" collapsed="false">
      <c r="C176" s="14"/>
      <c r="E176" s="14"/>
      <c r="F176" s="14"/>
      <c r="G176" s="14"/>
      <c r="H176" s="14"/>
      <c r="M176" s="12"/>
      <c r="O176" s="15" t="str">
        <f aca="false">IF(OR(M176="",N176=""),"",M176+N176)</f>
        <v/>
      </c>
      <c r="P176" s="16" t="str">
        <f aca="true">IF(O176="","",O176-TODAY())</f>
        <v/>
      </c>
      <c r="Q176" s="17" t="str">
        <f aca="false">IF(A176="","",TRIM(IF(E176="","No owner. ","")&amp;IF(F176="","No storage location. ","")&amp;IF(D176="","Serial missing. ","")&amp;IF(OR(H176="",H176="Undecided"),"No disposition. ","")&amp;IF(AND(H176="Ship",J176="",K176=""),"Shipping but no container/vehicle. ","")&amp;IF(AND(J176&lt;&gt;"",K176&lt;&gt;""),"In both a container and a vehicle. ","")&amp;IF(AND(H176="Ship",L176=""),"No destination. ","")&amp;IF(AND(J176&lt;&gt;"",L176&lt;&gt;"",IFERROR(VLOOKUP(J176,Containers!$A$5:$F$60,6,FALSE()),L176)&lt;&gt;L176),"Destination differs from container. ","")&amp;IF(AND(K176&lt;&gt;"",L176&lt;&gt;"",IFERROR(VLOOKUP(K176,Vehicles!$A$5:$F$60,6,FALSE()),L176)&lt;&gt;L176),"Destination differs from vehicle. ","")&amp;IF(AND(H176="Stay",OR(J176&lt;&gt;"",K176&lt;&gt;"",L176&lt;&gt;"")),"Marked Stay but has a container/vehicle/destination. ","")&amp;IF(G176="Missing","Reported missing. ","")&amp;IF(AND(P176&lt;&gt;"",N(P176)&lt;0),"Service overdue. ","")))</f>
        <v/>
      </c>
      <c r="S176" s="17" t="str">
        <f aca="false">IF(A176="","",IF(CHOOSE(MATCH(Find!$C$4,Lists!$K$2:$K$7,0),F176,E176,J176,K176,L176,G176)=Find!$C$5,MAX(S$4:S175)+1,""))</f>
        <v/>
      </c>
      <c r="T176" s="17" t="str">
        <f aca="false">IF(A176="","",IF(OR(J176=Manifest!$C$4,K176=Manifest!$C$4),MAX(T$4:T175)+1,""))</f>
        <v/>
      </c>
    </row>
    <row r="177" customFormat="false" ht="15" hidden="false" customHeight="false" outlineLevel="0" collapsed="false">
      <c r="C177" s="14"/>
      <c r="E177" s="14"/>
      <c r="F177" s="14"/>
      <c r="G177" s="14"/>
      <c r="H177" s="14"/>
      <c r="M177" s="12"/>
      <c r="O177" s="15" t="str">
        <f aca="false">IF(OR(M177="",N177=""),"",M177+N177)</f>
        <v/>
      </c>
      <c r="P177" s="16" t="str">
        <f aca="true">IF(O177="","",O177-TODAY())</f>
        <v/>
      </c>
      <c r="Q177" s="17" t="str">
        <f aca="false">IF(A177="","",TRIM(IF(E177="","No owner. ","")&amp;IF(F177="","No storage location. ","")&amp;IF(D177="","Serial missing. ","")&amp;IF(OR(H177="",H177="Undecided"),"No disposition. ","")&amp;IF(AND(H177="Ship",J177="",K177=""),"Shipping but no container/vehicle. ","")&amp;IF(AND(J177&lt;&gt;"",K177&lt;&gt;""),"In both a container and a vehicle. ","")&amp;IF(AND(H177="Ship",L177=""),"No destination. ","")&amp;IF(AND(J177&lt;&gt;"",L177&lt;&gt;"",IFERROR(VLOOKUP(J177,Containers!$A$5:$F$60,6,FALSE()),L177)&lt;&gt;L177),"Destination differs from container. ","")&amp;IF(AND(K177&lt;&gt;"",L177&lt;&gt;"",IFERROR(VLOOKUP(K177,Vehicles!$A$5:$F$60,6,FALSE()),L177)&lt;&gt;L177),"Destination differs from vehicle. ","")&amp;IF(AND(H177="Stay",OR(J177&lt;&gt;"",K177&lt;&gt;"",L177&lt;&gt;"")),"Marked Stay but has a container/vehicle/destination. ","")&amp;IF(G177="Missing","Reported missing. ","")&amp;IF(AND(P177&lt;&gt;"",N(P177)&lt;0),"Service overdue. ","")))</f>
        <v/>
      </c>
      <c r="S177" s="17" t="str">
        <f aca="false">IF(A177="","",IF(CHOOSE(MATCH(Find!$C$4,Lists!$K$2:$K$7,0),F177,E177,J177,K177,L177,G177)=Find!$C$5,MAX(S$4:S176)+1,""))</f>
        <v/>
      </c>
      <c r="T177" s="17" t="str">
        <f aca="false">IF(A177="","",IF(OR(J177=Manifest!$C$4,K177=Manifest!$C$4),MAX(T$4:T176)+1,""))</f>
        <v/>
      </c>
    </row>
    <row r="178" customFormat="false" ht="15" hidden="false" customHeight="false" outlineLevel="0" collapsed="false">
      <c r="C178" s="14"/>
      <c r="E178" s="14"/>
      <c r="F178" s="14"/>
      <c r="G178" s="14"/>
      <c r="H178" s="14"/>
      <c r="M178" s="12"/>
      <c r="O178" s="15" t="str">
        <f aca="false">IF(OR(M178="",N178=""),"",M178+N178)</f>
        <v/>
      </c>
      <c r="P178" s="16" t="str">
        <f aca="true">IF(O178="","",O178-TODAY())</f>
        <v/>
      </c>
      <c r="Q178" s="17" t="str">
        <f aca="false">IF(A178="","",TRIM(IF(E178="","No owner. ","")&amp;IF(F178="","No storage location. ","")&amp;IF(D178="","Serial missing. ","")&amp;IF(OR(H178="",H178="Undecided"),"No disposition. ","")&amp;IF(AND(H178="Ship",J178="",K178=""),"Shipping but no container/vehicle. ","")&amp;IF(AND(J178&lt;&gt;"",K178&lt;&gt;""),"In both a container and a vehicle. ","")&amp;IF(AND(H178="Ship",L178=""),"No destination. ","")&amp;IF(AND(J178&lt;&gt;"",L178&lt;&gt;"",IFERROR(VLOOKUP(J178,Containers!$A$5:$F$60,6,FALSE()),L178)&lt;&gt;L178),"Destination differs from container. ","")&amp;IF(AND(K178&lt;&gt;"",L178&lt;&gt;"",IFERROR(VLOOKUP(K178,Vehicles!$A$5:$F$60,6,FALSE()),L178)&lt;&gt;L178),"Destination differs from vehicle. ","")&amp;IF(AND(H178="Stay",OR(J178&lt;&gt;"",K178&lt;&gt;"",L178&lt;&gt;"")),"Marked Stay but has a container/vehicle/destination. ","")&amp;IF(G178="Missing","Reported missing. ","")&amp;IF(AND(P178&lt;&gt;"",N(P178)&lt;0),"Service overdue. ","")))</f>
        <v/>
      </c>
      <c r="S178" s="17" t="str">
        <f aca="false">IF(A178="","",IF(CHOOSE(MATCH(Find!$C$4,Lists!$K$2:$K$7,0),F178,E178,J178,K178,L178,G178)=Find!$C$5,MAX(S$4:S177)+1,""))</f>
        <v/>
      </c>
      <c r="T178" s="17" t="str">
        <f aca="false">IF(A178="","",IF(OR(J178=Manifest!$C$4,K178=Manifest!$C$4),MAX(T$4:T177)+1,""))</f>
        <v/>
      </c>
    </row>
    <row r="179" customFormat="false" ht="15" hidden="false" customHeight="false" outlineLevel="0" collapsed="false">
      <c r="C179" s="14"/>
      <c r="E179" s="14"/>
      <c r="F179" s="14"/>
      <c r="G179" s="14"/>
      <c r="H179" s="14"/>
      <c r="M179" s="12"/>
      <c r="O179" s="15" t="str">
        <f aca="false">IF(OR(M179="",N179=""),"",M179+N179)</f>
        <v/>
      </c>
      <c r="P179" s="16" t="str">
        <f aca="true">IF(O179="","",O179-TODAY())</f>
        <v/>
      </c>
      <c r="Q179" s="17" t="str">
        <f aca="false">IF(A179="","",TRIM(IF(E179="","No owner. ","")&amp;IF(F179="","No storage location. ","")&amp;IF(D179="","Serial missing. ","")&amp;IF(OR(H179="",H179="Undecided"),"No disposition. ","")&amp;IF(AND(H179="Ship",J179="",K179=""),"Shipping but no container/vehicle. ","")&amp;IF(AND(J179&lt;&gt;"",K179&lt;&gt;""),"In both a container and a vehicle. ","")&amp;IF(AND(H179="Ship",L179=""),"No destination. ","")&amp;IF(AND(J179&lt;&gt;"",L179&lt;&gt;"",IFERROR(VLOOKUP(J179,Containers!$A$5:$F$60,6,FALSE()),L179)&lt;&gt;L179),"Destination differs from container. ","")&amp;IF(AND(K179&lt;&gt;"",L179&lt;&gt;"",IFERROR(VLOOKUP(K179,Vehicles!$A$5:$F$60,6,FALSE()),L179)&lt;&gt;L179),"Destination differs from vehicle. ","")&amp;IF(AND(H179="Stay",OR(J179&lt;&gt;"",K179&lt;&gt;"",L179&lt;&gt;"")),"Marked Stay but has a container/vehicle/destination. ","")&amp;IF(G179="Missing","Reported missing. ","")&amp;IF(AND(P179&lt;&gt;"",N(P179)&lt;0),"Service overdue. ","")))</f>
        <v/>
      </c>
      <c r="S179" s="17" t="str">
        <f aca="false">IF(A179="","",IF(CHOOSE(MATCH(Find!$C$4,Lists!$K$2:$K$7,0),F179,E179,J179,K179,L179,G179)=Find!$C$5,MAX(S$4:S178)+1,""))</f>
        <v/>
      </c>
      <c r="T179" s="17" t="str">
        <f aca="false">IF(A179="","",IF(OR(J179=Manifest!$C$4,K179=Manifest!$C$4),MAX(T$4:T178)+1,""))</f>
        <v/>
      </c>
    </row>
    <row r="180" customFormat="false" ht="15" hidden="false" customHeight="false" outlineLevel="0" collapsed="false">
      <c r="C180" s="14"/>
      <c r="E180" s="14"/>
      <c r="F180" s="14"/>
      <c r="G180" s="14"/>
      <c r="H180" s="14"/>
      <c r="M180" s="12"/>
      <c r="O180" s="15" t="str">
        <f aca="false">IF(OR(M180="",N180=""),"",M180+N180)</f>
        <v/>
      </c>
      <c r="P180" s="16" t="str">
        <f aca="true">IF(O180="","",O180-TODAY())</f>
        <v/>
      </c>
      <c r="Q180" s="17" t="str">
        <f aca="false">IF(A180="","",TRIM(IF(E180="","No owner. ","")&amp;IF(F180="","No storage location. ","")&amp;IF(D180="","Serial missing. ","")&amp;IF(OR(H180="",H180="Undecided"),"No disposition. ","")&amp;IF(AND(H180="Ship",J180="",K180=""),"Shipping but no container/vehicle. ","")&amp;IF(AND(J180&lt;&gt;"",K180&lt;&gt;""),"In both a container and a vehicle. ","")&amp;IF(AND(H180="Ship",L180=""),"No destination. ","")&amp;IF(AND(J180&lt;&gt;"",L180&lt;&gt;"",IFERROR(VLOOKUP(J180,Containers!$A$5:$F$60,6,FALSE()),L180)&lt;&gt;L180),"Destination differs from container. ","")&amp;IF(AND(K180&lt;&gt;"",L180&lt;&gt;"",IFERROR(VLOOKUP(K180,Vehicles!$A$5:$F$60,6,FALSE()),L180)&lt;&gt;L180),"Destination differs from vehicle. ","")&amp;IF(AND(H180="Stay",OR(J180&lt;&gt;"",K180&lt;&gt;"",L180&lt;&gt;"")),"Marked Stay but has a container/vehicle/destination. ","")&amp;IF(G180="Missing","Reported missing. ","")&amp;IF(AND(P180&lt;&gt;"",N(P180)&lt;0),"Service overdue. ","")))</f>
        <v/>
      </c>
      <c r="S180" s="17" t="str">
        <f aca="false">IF(A180="","",IF(CHOOSE(MATCH(Find!$C$4,Lists!$K$2:$K$7,0),F180,E180,J180,K180,L180,G180)=Find!$C$5,MAX(S$4:S179)+1,""))</f>
        <v/>
      </c>
      <c r="T180" s="17" t="str">
        <f aca="false">IF(A180="","",IF(OR(J180=Manifest!$C$4,K180=Manifest!$C$4),MAX(T$4:T179)+1,""))</f>
        <v/>
      </c>
    </row>
    <row r="181" customFormat="false" ht="15" hidden="false" customHeight="false" outlineLevel="0" collapsed="false">
      <c r="C181" s="14"/>
      <c r="E181" s="14"/>
      <c r="F181" s="14"/>
      <c r="G181" s="14"/>
      <c r="H181" s="14"/>
      <c r="M181" s="12"/>
      <c r="O181" s="15" t="str">
        <f aca="false">IF(OR(M181="",N181=""),"",M181+N181)</f>
        <v/>
      </c>
      <c r="P181" s="16" t="str">
        <f aca="true">IF(O181="","",O181-TODAY())</f>
        <v/>
      </c>
      <c r="Q181" s="17" t="str">
        <f aca="false">IF(A181="","",TRIM(IF(E181="","No owner. ","")&amp;IF(F181="","No storage location. ","")&amp;IF(D181="","Serial missing. ","")&amp;IF(OR(H181="",H181="Undecided"),"No disposition. ","")&amp;IF(AND(H181="Ship",J181="",K181=""),"Shipping but no container/vehicle. ","")&amp;IF(AND(J181&lt;&gt;"",K181&lt;&gt;""),"In both a container and a vehicle. ","")&amp;IF(AND(H181="Ship",L181=""),"No destination. ","")&amp;IF(AND(J181&lt;&gt;"",L181&lt;&gt;"",IFERROR(VLOOKUP(J181,Containers!$A$5:$F$60,6,FALSE()),L181)&lt;&gt;L181),"Destination differs from container. ","")&amp;IF(AND(K181&lt;&gt;"",L181&lt;&gt;"",IFERROR(VLOOKUP(K181,Vehicles!$A$5:$F$60,6,FALSE()),L181)&lt;&gt;L181),"Destination differs from vehicle. ","")&amp;IF(AND(H181="Stay",OR(J181&lt;&gt;"",K181&lt;&gt;"",L181&lt;&gt;"")),"Marked Stay but has a container/vehicle/destination. ","")&amp;IF(G181="Missing","Reported missing. ","")&amp;IF(AND(P181&lt;&gt;"",N(P181)&lt;0),"Service overdue. ","")))</f>
        <v/>
      </c>
      <c r="S181" s="17" t="str">
        <f aca="false">IF(A181="","",IF(CHOOSE(MATCH(Find!$C$4,Lists!$K$2:$K$7,0),F181,E181,J181,K181,L181,G181)=Find!$C$5,MAX(S$4:S180)+1,""))</f>
        <v/>
      </c>
      <c r="T181" s="17" t="str">
        <f aca="false">IF(A181="","",IF(OR(J181=Manifest!$C$4,K181=Manifest!$C$4),MAX(T$4:T180)+1,""))</f>
        <v/>
      </c>
    </row>
    <row r="182" customFormat="false" ht="15" hidden="false" customHeight="false" outlineLevel="0" collapsed="false">
      <c r="C182" s="14"/>
      <c r="E182" s="14"/>
      <c r="F182" s="14"/>
      <c r="G182" s="14"/>
      <c r="H182" s="14"/>
      <c r="M182" s="12"/>
      <c r="O182" s="15" t="str">
        <f aca="false">IF(OR(M182="",N182=""),"",M182+N182)</f>
        <v/>
      </c>
      <c r="P182" s="16" t="str">
        <f aca="true">IF(O182="","",O182-TODAY())</f>
        <v/>
      </c>
      <c r="Q182" s="17" t="str">
        <f aca="false">IF(A182="","",TRIM(IF(E182="","No owner. ","")&amp;IF(F182="","No storage location. ","")&amp;IF(D182="","Serial missing. ","")&amp;IF(OR(H182="",H182="Undecided"),"No disposition. ","")&amp;IF(AND(H182="Ship",J182="",K182=""),"Shipping but no container/vehicle. ","")&amp;IF(AND(J182&lt;&gt;"",K182&lt;&gt;""),"In both a container and a vehicle. ","")&amp;IF(AND(H182="Ship",L182=""),"No destination. ","")&amp;IF(AND(J182&lt;&gt;"",L182&lt;&gt;"",IFERROR(VLOOKUP(J182,Containers!$A$5:$F$60,6,FALSE()),L182)&lt;&gt;L182),"Destination differs from container. ","")&amp;IF(AND(K182&lt;&gt;"",L182&lt;&gt;"",IFERROR(VLOOKUP(K182,Vehicles!$A$5:$F$60,6,FALSE()),L182)&lt;&gt;L182),"Destination differs from vehicle. ","")&amp;IF(AND(H182="Stay",OR(J182&lt;&gt;"",K182&lt;&gt;"",L182&lt;&gt;"")),"Marked Stay but has a container/vehicle/destination. ","")&amp;IF(G182="Missing","Reported missing. ","")&amp;IF(AND(P182&lt;&gt;"",N(P182)&lt;0),"Service overdue. ","")))</f>
        <v/>
      </c>
      <c r="S182" s="17" t="str">
        <f aca="false">IF(A182="","",IF(CHOOSE(MATCH(Find!$C$4,Lists!$K$2:$K$7,0),F182,E182,J182,K182,L182,G182)=Find!$C$5,MAX(S$4:S181)+1,""))</f>
        <v/>
      </c>
      <c r="T182" s="17" t="str">
        <f aca="false">IF(A182="","",IF(OR(J182=Manifest!$C$4,K182=Manifest!$C$4),MAX(T$4:T181)+1,""))</f>
        <v/>
      </c>
    </row>
    <row r="183" customFormat="false" ht="15" hidden="false" customHeight="false" outlineLevel="0" collapsed="false">
      <c r="C183" s="14"/>
      <c r="E183" s="14"/>
      <c r="F183" s="14"/>
      <c r="G183" s="14"/>
      <c r="H183" s="14"/>
      <c r="M183" s="12"/>
      <c r="O183" s="15" t="str">
        <f aca="false">IF(OR(M183="",N183=""),"",M183+N183)</f>
        <v/>
      </c>
      <c r="P183" s="16" t="str">
        <f aca="true">IF(O183="","",O183-TODAY())</f>
        <v/>
      </c>
      <c r="Q183" s="17" t="str">
        <f aca="false">IF(A183="","",TRIM(IF(E183="","No owner. ","")&amp;IF(F183="","No storage location. ","")&amp;IF(D183="","Serial missing. ","")&amp;IF(OR(H183="",H183="Undecided"),"No disposition. ","")&amp;IF(AND(H183="Ship",J183="",K183=""),"Shipping but no container/vehicle. ","")&amp;IF(AND(J183&lt;&gt;"",K183&lt;&gt;""),"In both a container and a vehicle. ","")&amp;IF(AND(H183="Ship",L183=""),"No destination. ","")&amp;IF(AND(J183&lt;&gt;"",L183&lt;&gt;"",IFERROR(VLOOKUP(J183,Containers!$A$5:$F$60,6,FALSE()),L183)&lt;&gt;L183),"Destination differs from container. ","")&amp;IF(AND(K183&lt;&gt;"",L183&lt;&gt;"",IFERROR(VLOOKUP(K183,Vehicles!$A$5:$F$60,6,FALSE()),L183)&lt;&gt;L183),"Destination differs from vehicle. ","")&amp;IF(AND(H183="Stay",OR(J183&lt;&gt;"",K183&lt;&gt;"",L183&lt;&gt;"")),"Marked Stay but has a container/vehicle/destination. ","")&amp;IF(G183="Missing","Reported missing. ","")&amp;IF(AND(P183&lt;&gt;"",N(P183)&lt;0),"Service overdue. ","")))</f>
        <v/>
      </c>
      <c r="S183" s="17" t="str">
        <f aca="false">IF(A183="","",IF(CHOOSE(MATCH(Find!$C$4,Lists!$K$2:$K$7,0),F183,E183,J183,K183,L183,G183)=Find!$C$5,MAX(S$4:S182)+1,""))</f>
        <v/>
      </c>
      <c r="T183" s="17" t="str">
        <f aca="false">IF(A183="","",IF(OR(J183=Manifest!$C$4,K183=Manifest!$C$4),MAX(T$4:T182)+1,""))</f>
        <v/>
      </c>
    </row>
    <row r="184" customFormat="false" ht="15" hidden="false" customHeight="false" outlineLevel="0" collapsed="false">
      <c r="C184" s="14"/>
      <c r="E184" s="14"/>
      <c r="F184" s="14"/>
      <c r="G184" s="14"/>
      <c r="H184" s="14"/>
      <c r="M184" s="12"/>
      <c r="O184" s="15" t="str">
        <f aca="false">IF(OR(M184="",N184=""),"",M184+N184)</f>
        <v/>
      </c>
      <c r="P184" s="16" t="str">
        <f aca="true">IF(O184="","",O184-TODAY())</f>
        <v/>
      </c>
      <c r="Q184" s="17" t="str">
        <f aca="false">IF(A184="","",TRIM(IF(E184="","No owner. ","")&amp;IF(F184="","No storage location. ","")&amp;IF(D184="","Serial missing. ","")&amp;IF(OR(H184="",H184="Undecided"),"No disposition. ","")&amp;IF(AND(H184="Ship",J184="",K184=""),"Shipping but no container/vehicle. ","")&amp;IF(AND(J184&lt;&gt;"",K184&lt;&gt;""),"In both a container and a vehicle. ","")&amp;IF(AND(H184="Ship",L184=""),"No destination. ","")&amp;IF(AND(J184&lt;&gt;"",L184&lt;&gt;"",IFERROR(VLOOKUP(J184,Containers!$A$5:$F$60,6,FALSE()),L184)&lt;&gt;L184),"Destination differs from container. ","")&amp;IF(AND(K184&lt;&gt;"",L184&lt;&gt;"",IFERROR(VLOOKUP(K184,Vehicles!$A$5:$F$60,6,FALSE()),L184)&lt;&gt;L184),"Destination differs from vehicle. ","")&amp;IF(AND(H184="Stay",OR(J184&lt;&gt;"",K184&lt;&gt;"",L184&lt;&gt;"")),"Marked Stay but has a container/vehicle/destination. ","")&amp;IF(G184="Missing","Reported missing. ","")&amp;IF(AND(P184&lt;&gt;"",N(P184)&lt;0),"Service overdue. ","")))</f>
        <v/>
      </c>
      <c r="S184" s="17" t="str">
        <f aca="false">IF(A184="","",IF(CHOOSE(MATCH(Find!$C$4,Lists!$K$2:$K$7,0),F184,E184,J184,K184,L184,G184)=Find!$C$5,MAX(S$4:S183)+1,""))</f>
        <v/>
      </c>
      <c r="T184" s="17" t="str">
        <f aca="false">IF(A184="","",IF(OR(J184=Manifest!$C$4,K184=Manifest!$C$4),MAX(T$4:T183)+1,""))</f>
        <v/>
      </c>
    </row>
    <row r="185" customFormat="false" ht="15" hidden="false" customHeight="false" outlineLevel="0" collapsed="false">
      <c r="C185" s="14"/>
      <c r="E185" s="14"/>
      <c r="F185" s="14"/>
      <c r="G185" s="14"/>
      <c r="H185" s="14"/>
      <c r="M185" s="12"/>
      <c r="O185" s="15" t="str">
        <f aca="false">IF(OR(M185="",N185=""),"",M185+N185)</f>
        <v/>
      </c>
      <c r="P185" s="16" t="str">
        <f aca="true">IF(O185="","",O185-TODAY())</f>
        <v/>
      </c>
      <c r="Q185" s="17" t="str">
        <f aca="false">IF(A185="","",TRIM(IF(E185="","No owner. ","")&amp;IF(F185="","No storage location. ","")&amp;IF(D185="","Serial missing. ","")&amp;IF(OR(H185="",H185="Undecided"),"No disposition. ","")&amp;IF(AND(H185="Ship",J185="",K185=""),"Shipping but no container/vehicle. ","")&amp;IF(AND(J185&lt;&gt;"",K185&lt;&gt;""),"In both a container and a vehicle. ","")&amp;IF(AND(H185="Ship",L185=""),"No destination. ","")&amp;IF(AND(J185&lt;&gt;"",L185&lt;&gt;"",IFERROR(VLOOKUP(J185,Containers!$A$5:$F$60,6,FALSE()),L185)&lt;&gt;L185),"Destination differs from container. ","")&amp;IF(AND(K185&lt;&gt;"",L185&lt;&gt;"",IFERROR(VLOOKUP(K185,Vehicles!$A$5:$F$60,6,FALSE()),L185)&lt;&gt;L185),"Destination differs from vehicle. ","")&amp;IF(AND(H185="Stay",OR(J185&lt;&gt;"",K185&lt;&gt;"",L185&lt;&gt;"")),"Marked Stay but has a container/vehicle/destination. ","")&amp;IF(G185="Missing","Reported missing. ","")&amp;IF(AND(P185&lt;&gt;"",N(P185)&lt;0),"Service overdue. ","")))</f>
        <v/>
      </c>
      <c r="S185" s="17" t="str">
        <f aca="false">IF(A185="","",IF(CHOOSE(MATCH(Find!$C$4,Lists!$K$2:$K$7,0),F185,E185,J185,K185,L185,G185)=Find!$C$5,MAX(S$4:S184)+1,""))</f>
        <v/>
      </c>
      <c r="T185" s="17" t="str">
        <f aca="false">IF(A185="","",IF(OR(J185=Manifest!$C$4,K185=Manifest!$C$4),MAX(T$4:T184)+1,""))</f>
        <v/>
      </c>
    </row>
    <row r="186" customFormat="false" ht="15" hidden="false" customHeight="false" outlineLevel="0" collapsed="false">
      <c r="C186" s="14"/>
      <c r="E186" s="14"/>
      <c r="F186" s="14"/>
      <c r="G186" s="14"/>
      <c r="H186" s="14"/>
      <c r="M186" s="12"/>
      <c r="O186" s="15" t="str">
        <f aca="false">IF(OR(M186="",N186=""),"",M186+N186)</f>
        <v/>
      </c>
      <c r="P186" s="16" t="str">
        <f aca="true">IF(O186="","",O186-TODAY())</f>
        <v/>
      </c>
      <c r="Q186" s="17" t="str">
        <f aca="false">IF(A186="","",TRIM(IF(E186="","No owner. ","")&amp;IF(F186="","No storage location. ","")&amp;IF(D186="","Serial missing. ","")&amp;IF(OR(H186="",H186="Undecided"),"No disposition. ","")&amp;IF(AND(H186="Ship",J186="",K186=""),"Shipping but no container/vehicle. ","")&amp;IF(AND(J186&lt;&gt;"",K186&lt;&gt;""),"In both a container and a vehicle. ","")&amp;IF(AND(H186="Ship",L186=""),"No destination. ","")&amp;IF(AND(J186&lt;&gt;"",L186&lt;&gt;"",IFERROR(VLOOKUP(J186,Containers!$A$5:$F$60,6,FALSE()),L186)&lt;&gt;L186),"Destination differs from container. ","")&amp;IF(AND(K186&lt;&gt;"",L186&lt;&gt;"",IFERROR(VLOOKUP(K186,Vehicles!$A$5:$F$60,6,FALSE()),L186)&lt;&gt;L186),"Destination differs from vehicle. ","")&amp;IF(AND(H186="Stay",OR(J186&lt;&gt;"",K186&lt;&gt;"",L186&lt;&gt;"")),"Marked Stay but has a container/vehicle/destination. ","")&amp;IF(G186="Missing","Reported missing. ","")&amp;IF(AND(P186&lt;&gt;"",N(P186)&lt;0),"Service overdue. ","")))</f>
        <v/>
      </c>
      <c r="S186" s="17" t="str">
        <f aca="false">IF(A186="","",IF(CHOOSE(MATCH(Find!$C$4,Lists!$K$2:$K$7,0),F186,E186,J186,K186,L186,G186)=Find!$C$5,MAX(S$4:S185)+1,""))</f>
        <v/>
      </c>
      <c r="T186" s="17" t="str">
        <f aca="false">IF(A186="","",IF(OR(J186=Manifest!$C$4,K186=Manifest!$C$4),MAX(T$4:T185)+1,""))</f>
        <v/>
      </c>
    </row>
    <row r="187" customFormat="false" ht="15" hidden="false" customHeight="false" outlineLevel="0" collapsed="false">
      <c r="C187" s="14"/>
      <c r="E187" s="14"/>
      <c r="F187" s="14"/>
      <c r="G187" s="14"/>
      <c r="H187" s="14"/>
      <c r="M187" s="12"/>
      <c r="O187" s="15" t="str">
        <f aca="false">IF(OR(M187="",N187=""),"",M187+N187)</f>
        <v/>
      </c>
      <c r="P187" s="16" t="str">
        <f aca="true">IF(O187="","",O187-TODAY())</f>
        <v/>
      </c>
      <c r="Q187" s="17" t="str">
        <f aca="false">IF(A187="","",TRIM(IF(E187="","No owner. ","")&amp;IF(F187="","No storage location. ","")&amp;IF(D187="","Serial missing. ","")&amp;IF(OR(H187="",H187="Undecided"),"No disposition. ","")&amp;IF(AND(H187="Ship",J187="",K187=""),"Shipping but no container/vehicle. ","")&amp;IF(AND(J187&lt;&gt;"",K187&lt;&gt;""),"In both a container and a vehicle. ","")&amp;IF(AND(H187="Ship",L187=""),"No destination. ","")&amp;IF(AND(J187&lt;&gt;"",L187&lt;&gt;"",IFERROR(VLOOKUP(J187,Containers!$A$5:$F$60,6,FALSE()),L187)&lt;&gt;L187),"Destination differs from container. ","")&amp;IF(AND(K187&lt;&gt;"",L187&lt;&gt;"",IFERROR(VLOOKUP(K187,Vehicles!$A$5:$F$60,6,FALSE()),L187)&lt;&gt;L187),"Destination differs from vehicle. ","")&amp;IF(AND(H187="Stay",OR(J187&lt;&gt;"",K187&lt;&gt;"",L187&lt;&gt;"")),"Marked Stay but has a container/vehicle/destination. ","")&amp;IF(G187="Missing","Reported missing. ","")&amp;IF(AND(P187&lt;&gt;"",N(P187)&lt;0),"Service overdue. ","")))</f>
        <v/>
      </c>
      <c r="S187" s="17" t="str">
        <f aca="false">IF(A187="","",IF(CHOOSE(MATCH(Find!$C$4,Lists!$K$2:$K$7,0),F187,E187,J187,K187,L187,G187)=Find!$C$5,MAX(S$4:S186)+1,""))</f>
        <v/>
      </c>
      <c r="T187" s="17" t="str">
        <f aca="false">IF(A187="","",IF(OR(J187=Manifest!$C$4,K187=Manifest!$C$4),MAX(T$4:T186)+1,""))</f>
        <v/>
      </c>
    </row>
    <row r="188" customFormat="false" ht="15" hidden="false" customHeight="false" outlineLevel="0" collapsed="false">
      <c r="C188" s="14"/>
      <c r="E188" s="14"/>
      <c r="F188" s="14"/>
      <c r="G188" s="14"/>
      <c r="H188" s="14"/>
      <c r="M188" s="12"/>
      <c r="O188" s="15" t="str">
        <f aca="false">IF(OR(M188="",N188=""),"",M188+N188)</f>
        <v/>
      </c>
      <c r="P188" s="16" t="str">
        <f aca="true">IF(O188="","",O188-TODAY())</f>
        <v/>
      </c>
      <c r="Q188" s="17" t="str">
        <f aca="false">IF(A188="","",TRIM(IF(E188="","No owner. ","")&amp;IF(F188="","No storage location. ","")&amp;IF(D188="","Serial missing. ","")&amp;IF(OR(H188="",H188="Undecided"),"No disposition. ","")&amp;IF(AND(H188="Ship",J188="",K188=""),"Shipping but no container/vehicle. ","")&amp;IF(AND(J188&lt;&gt;"",K188&lt;&gt;""),"In both a container and a vehicle. ","")&amp;IF(AND(H188="Ship",L188=""),"No destination. ","")&amp;IF(AND(J188&lt;&gt;"",L188&lt;&gt;"",IFERROR(VLOOKUP(J188,Containers!$A$5:$F$60,6,FALSE()),L188)&lt;&gt;L188),"Destination differs from container. ","")&amp;IF(AND(K188&lt;&gt;"",L188&lt;&gt;"",IFERROR(VLOOKUP(K188,Vehicles!$A$5:$F$60,6,FALSE()),L188)&lt;&gt;L188),"Destination differs from vehicle. ","")&amp;IF(AND(H188="Stay",OR(J188&lt;&gt;"",K188&lt;&gt;"",L188&lt;&gt;"")),"Marked Stay but has a container/vehicle/destination. ","")&amp;IF(G188="Missing","Reported missing. ","")&amp;IF(AND(P188&lt;&gt;"",N(P188)&lt;0),"Service overdue. ","")))</f>
        <v/>
      </c>
      <c r="S188" s="17" t="str">
        <f aca="false">IF(A188="","",IF(CHOOSE(MATCH(Find!$C$4,Lists!$K$2:$K$7,0),F188,E188,J188,K188,L188,G188)=Find!$C$5,MAX(S$4:S187)+1,""))</f>
        <v/>
      </c>
      <c r="T188" s="17" t="str">
        <f aca="false">IF(A188="","",IF(OR(J188=Manifest!$C$4,K188=Manifest!$C$4),MAX(T$4:T187)+1,""))</f>
        <v/>
      </c>
    </row>
    <row r="189" customFormat="false" ht="15" hidden="false" customHeight="false" outlineLevel="0" collapsed="false">
      <c r="C189" s="14"/>
      <c r="E189" s="14"/>
      <c r="F189" s="14"/>
      <c r="G189" s="14"/>
      <c r="H189" s="14"/>
      <c r="M189" s="12"/>
      <c r="O189" s="15" t="str">
        <f aca="false">IF(OR(M189="",N189=""),"",M189+N189)</f>
        <v/>
      </c>
      <c r="P189" s="16" t="str">
        <f aca="true">IF(O189="","",O189-TODAY())</f>
        <v/>
      </c>
      <c r="Q189" s="17" t="str">
        <f aca="false">IF(A189="","",TRIM(IF(E189="","No owner. ","")&amp;IF(F189="","No storage location. ","")&amp;IF(D189="","Serial missing. ","")&amp;IF(OR(H189="",H189="Undecided"),"No disposition. ","")&amp;IF(AND(H189="Ship",J189="",K189=""),"Shipping but no container/vehicle. ","")&amp;IF(AND(J189&lt;&gt;"",K189&lt;&gt;""),"In both a container and a vehicle. ","")&amp;IF(AND(H189="Ship",L189=""),"No destination. ","")&amp;IF(AND(J189&lt;&gt;"",L189&lt;&gt;"",IFERROR(VLOOKUP(J189,Containers!$A$5:$F$60,6,FALSE()),L189)&lt;&gt;L189),"Destination differs from container. ","")&amp;IF(AND(K189&lt;&gt;"",L189&lt;&gt;"",IFERROR(VLOOKUP(K189,Vehicles!$A$5:$F$60,6,FALSE()),L189)&lt;&gt;L189),"Destination differs from vehicle. ","")&amp;IF(AND(H189="Stay",OR(J189&lt;&gt;"",K189&lt;&gt;"",L189&lt;&gt;"")),"Marked Stay but has a container/vehicle/destination. ","")&amp;IF(G189="Missing","Reported missing. ","")&amp;IF(AND(P189&lt;&gt;"",N(P189)&lt;0),"Service overdue. ","")))</f>
        <v/>
      </c>
      <c r="S189" s="17" t="str">
        <f aca="false">IF(A189="","",IF(CHOOSE(MATCH(Find!$C$4,Lists!$K$2:$K$7,0),F189,E189,J189,K189,L189,G189)=Find!$C$5,MAX(S$4:S188)+1,""))</f>
        <v/>
      </c>
      <c r="T189" s="17" t="str">
        <f aca="false">IF(A189="","",IF(OR(J189=Manifest!$C$4,K189=Manifest!$C$4),MAX(T$4:T188)+1,""))</f>
        <v/>
      </c>
    </row>
    <row r="190" customFormat="false" ht="15" hidden="false" customHeight="false" outlineLevel="0" collapsed="false">
      <c r="C190" s="14"/>
      <c r="E190" s="14"/>
      <c r="F190" s="14"/>
      <c r="G190" s="14"/>
      <c r="H190" s="14"/>
      <c r="M190" s="12"/>
      <c r="O190" s="15" t="str">
        <f aca="false">IF(OR(M190="",N190=""),"",M190+N190)</f>
        <v/>
      </c>
      <c r="P190" s="16" t="str">
        <f aca="true">IF(O190="","",O190-TODAY())</f>
        <v/>
      </c>
      <c r="Q190" s="17" t="str">
        <f aca="false">IF(A190="","",TRIM(IF(E190="","No owner. ","")&amp;IF(F190="","No storage location. ","")&amp;IF(D190="","Serial missing. ","")&amp;IF(OR(H190="",H190="Undecided"),"No disposition. ","")&amp;IF(AND(H190="Ship",J190="",K190=""),"Shipping but no container/vehicle. ","")&amp;IF(AND(J190&lt;&gt;"",K190&lt;&gt;""),"In both a container and a vehicle. ","")&amp;IF(AND(H190="Ship",L190=""),"No destination. ","")&amp;IF(AND(J190&lt;&gt;"",L190&lt;&gt;"",IFERROR(VLOOKUP(J190,Containers!$A$5:$F$60,6,FALSE()),L190)&lt;&gt;L190),"Destination differs from container. ","")&amp;IF(AND(K190&lt;&gt;"",L190&lt;&gt;"",IFERROR(VLOOKUP(K190,Vehicles!$A$5:$F$60,6,FALSE()),L190)&lt;&gt;L190),"Destination differs from vehicle. ","")&amp;IF(AND(H190="Stay",OR(J190&lt;&gt;"",K190&lt;&gt;"",L190&lt;&gt;"")),"Marked Stay but has a container/vehicle/destination. ","")&amp;IF(G190="Missing","Reported missing. ","")&amp;IF(AND(P190&lt;&gt;"",N(P190)&lt;0),"Service overdue. ","")))</f>
        <v/>
      </c>
      <c r="S190" s="17" t="str">
        <f aca="false">IF(A190="","",IF(CHOOSE(MATCH(Find!$C$4,Lists!$K$2:$K$7,0),F190,E190,J190,K190,L190,G190)=Find!$C$5,MAX(S$4:S189)+1,""))</f>
        <v/>
      </c>
      <c r="T190" s="17" t="str">
        <f aca="false">IF(A190="","",IF(OR(J190=Manifest!$C$4,K190=Manifest!$C$4),MAX(T$4:T189)+1,""))</f>
        <v/>
      </c>
    </row>
    <row r="191" customFormat="false" ht="15" hidden="false" customHeight="false" outlineLevel="0" collapsed="false">
      <c r="C191" s="14"/>
      <c r="E191" s="14"/>
      <c r="F191" s="14"/>
      <c r="G191" s="14"/>
      <c r="H191" s="14"/>
      <c r="M191" s="12"/>
      <c r="O191" s="15" t="str">
        <f aca="false">IF(OR(M191="",N191=""),"",M191+N191)</f>
        <v/>
      </c>
      <c r="P191" s="16" t="str">
        <f aca="true">IF(O191="","",O191-TODAY())</f>
        <v/>
      </c>
      <c r="Q191" s="17" t="str">
        <f aca="false">IF(A191="","",TRIM(IF(E191="","No owner. ","")&amp;IF(F191="","No storage location. ","")&amp;IF(D191="","Serial missing. ","")&amp;IF(OR(H191="",H191="Undecided"),"No disposition. ","")&amp;IF(AND(H191="Ship",J191="",K191=""),"Shipping but no container/vehicle. ","")&amp;IF(AND(J191&lt;&gt;"",K191&lt;&gt;""),"In both a container and a vehicle. ","")&amp;IF(AND(H191="Ship",L191=""),"No destination. ","")&amp;IF(AND(J191&lt;&gt;"",L191&lt;&gt;"",IFERROR(VLOOKUP(J191,Containers!$A$5:$F$60,6,FALSE()),L191)&lt;&gt;L191),"Destination differs from container. ","")&amp;IF(AND(K191&lt;&gt;"",L191&lt;&gt;"",IFERROR(VLOOKUP(K191,Vehicles!$A$5:$F$60,6,FALSE()),L191)&lt;&gt;L191),"Destination differs from vehicle. ","")&amp;IF(AND(H191="Stay",OR(J191&lt;&gt;"",K191&lt;&gt;"",L191&lt;&gt;"")),"Marked Stay but has a container/vehicle/destination. ","")&amp;IF(G191="Missing","Reported missing. ","")&amp;IF(AND(P191&lt;&gt;"",N(P191)&lt;0),"Service overdue. ","")))</f>
        <v/>
      </c>
      <c r="S191" s="17" t="str">
        <f aca="false">IF(A191="","",IF(CHOOSE(MATCH(Find!$C$4,Lists!$K$2:$K$7,0),F191,E191,J191,K191,L191,G191)=Find!$C$5,MAX(S$4:S190)+1,""))</f>
        <v/>
      </c>
      <c r="T191" s="17" t="str">
        <f aca="false">IF(A191="","",IF(OR(J191=Manifest!$C$4,K191=Manifest!$C$4),MAX(T$4:T190)+1,""))</f>
        <v/>
      </c>
    </row>
    <row r="192" customFormat="false" ht="15" hidden="false" customHeight="false" outlineLevel="0" collapsed="false">
      <c r="C192" s="14"/>
      <c r="E192" s="14"/>
      <c r="F192" s="14"/>
      <c r="G192" s="14"/>
      <c r="H192" s="14"/>
      <c r="M192" s="12"/>
      <c r="O192" s="15" t="str">
        <f aca="false">IF(OR(M192="",N192=""),"",M192+N192)</f>
        <v/>
      </c>
      <c r="P192" s="16" t="str">
        <f aca="true">IF(O192="","",O192-TODAY())</f>
        <v/>
      </c>
      <c r="Q192" s="17" t="str">
        <f aca="false">IF(A192="","",TRIM(IF(E192="","No owner. ","")&amp;IF(F192="","No storage location. ","")&amp;IF(D192="","Serial missing. ","")&amp;IF(OR(H192="",H192="Undecided"),"No disposition. ","")&amp;IF(AND(H192="Ship",J192="",K192=""),"Shipping but no container/vehicle. ","")&amp;IF(AND(J192&lt;&gt;"",K192&lt;&gt;""),"In both a container and a vehicle. ","")&amp;IF(AND(H192="Ship",L192=""),"No destination. ","")&amp;IF(AND(J192&lt;&gt;"",L192&lt;&gt;"",IFERROR(VLOOKUP(J192,Containers!$A$5:$F$60,6,FALSE()),L192)&lt;&gt;L192),"Destination differs from container. ","")&amp;IF(AND(K192&lt;&gt;"",L192&lt;&gt;"",IFERROR(VLOOKUP(K192,Vehicles!$A$5:$F$60,6,FALSE()),L192)&lt;&gt;L192),"Destination differs from vehicle. ","")&amp;IF(AND(H192="Stay",OR(J192&lt;&gt;"",K192&lt;&gt;"",L192&lt;&gt;"")),"Marked Stay but has a container/vehicle/destination. ","")&amp;IF(G192="Missing","Reported missing. ","")&amp;IF(AND(P192&lt;&gt;"",N(P192)&lt;0),"Service overdue. ","")))</f>
        <v/>
      </c>
      <c r="S192" s="17" t="str">
        <f aca="false">IF(A192="","",IF(CHOOSE(MATCH(Find!$C$4,Lists!$K$2:$K$7,0),F192,E192,J192,K192,L192,G192)=Find!$C$5,MAX(S$4:S191)+1,""))</f>
        <v/>
      </c>
      <c r="T192" s="17" t="str">
        <f aca="false">IF(A192="","",IF(OR(J192=Manifest!$C$4,K192=Manifest!$C$4),MAX(T$4:T191)+1,""))</f>
        <v/>
      </c>
    </row>
    <row r="193" customFormat="false" ht="15" hidden="false" customHeight="false" outlineLevel="0" collapsed="false">
      <c r="C193" s="14"/>
      <c r="E193" s="14"/>
      <c r="F193" s="14"/>
      <c r="G193" s="14"/>
      <c r="H193" s="14"/>
      <c r="M193" s="12"/>
      <c r="O193" s="15" t="str">
        <f aca="false">IF(OR(M193="",N193=""),"",M193+N193)</f>
        <v/>
      </c>
      <c r="P193" s="16" t="str">
        <f aca="true">IF(O193="","",O193-TODAY())</f>
        <v/>
      </c>
      <c r="Q193" s="17" t="str">
        <f aca="false">IF(A193="","",TRIM(IF(E193="","No owner. ","")&amp;IF(F193="","No storage location. ","")&amp;IF(D193="","Serial missing. ","")&amp;IF(OR(H193="",H193="Undecided"),"No disposition. ","")&amp;IF(AND(H193="Ship",J193="",K193=""),"Shipping but no container/vehicle. ","")&amp;IF(AND(J193&lt;&gt;"",K193&lt;&gt;""),"In both a container and a vehicle. ","")&amp;IF(AND(H193="Ship",L193=""),"No destination. ","")&amp;IF(AND(J193&lt;&gt;"",L193&lt;&gt;"",IFERROR(VLOOKUP(J193,Containers!$A$5:$F$60,6,FALSE()),L193)&lt;&gt;L193),"Destination differs from container. ","")&amp;IF(AND(K193&lt;&gt;"",L193&lt;&gt;"",IFERROR(VLOOKUP(K193,Vehicles!$A$5:$F$60,6,FALSE()),L193)&lt;&gt;L193),"Destination differs from vehicle. ","")&amp;IF(AND(H193="Stay",OR(J193&lt;&gt;"",K193&lt;&gt;"",L193&lt;&gt;"")),"Marked Stay but has a container/vehicle/destination. ","")&amp;IF(G193="Missing","Reported missing. ","")&amp;IF(AND(P193&lt;&gt;"",N(P193)&lt;0),"Service overdue. ","")))</f>
        <v/>
      </c>
      <c r="S193" s="17" t="str">
        <f aca="false">IF(A193="","",IF(CHOOSE(MATCH(Find!$C$4,Lists!$K$2:$K$7,0),F193,E193,J193,K193,L193,G193)=Find!$C$5,MAX(S$4:S192)+1,""))</f>
        <v/>
      </c>
      <c r="T193" s="17" t="str">
        <f aca="false">IF(A193="","",IF(OR(J193=Manifest!$C$4,K193=Manifest!$C$4),MAX(T$4:T192)+1,""))</f>
        <v/>
      </c>
    </row>
    <row r="194" customFormat="false" ht="15" hidden="false" customHeight="false" outlineLevel="0" collapsed="false">
      <c r="C194" s="14"/>
      <c r="E194" s="14"/>
      <c r="F194" s="14"/>
      <c r="G194" s="14"/>
      <c r="H194" s="14"/>
      <c r="M194" s="12"/>
      <c r="O194" s="15" t="str">
        <f aca="false">IF(OR(M194="",N194=""),"",M194+N194)</f>
        <v/>
      </c>
      <c r="P194" s="16" t="str">
        <f aca="true">IF(O194="","",O194-TODAY())</f>
        <v/>
      </c>
      <c r="Q194" s="17" t="str">
        <f aca="false">IF(A194="","",TRIM(IF(E194="","No owner. ","")&amp;IF(F194="","No storage location. ","")&amp;IF(D194="","Serial missing. ","")&amp;IF(OR(H194="",H194="Undecided"),"No disposition. ","")&amp;IF(AND(H194="Ship",J194="",K194=""),"Shipping but no container/vehicle. ","")&amp;IF(AND(J194&lt;&gt;"",K194&lt;&gt;""),"In both a container and a vehicle. ","")&amp;IF(AND(H194="Ship",L194=""),"No destination. ","")&amp;IF(AND(J194&lt;&gt;"",L194&lt;&gt;"",IFERROR(VLOOKUP(J194,Containers!$A$5:$F$60,6,FALSE()),L194)&lt;&gt;L194),"Destination differs from container. ","")&amp;IF(AND(K194&lt;&gt;"",L194&lt;&gt;"",IFERROR(VLOOKUP(K194,Vehicles!$A$5:$F$60,6,FALSE()),L194)&lt;&gt;L194),"Destination differs from vehicle. ","")&amp;IF(AND(H194="Stay",OR(J194&lt;&gt;"",K194&lt;&gt;"",L194&lt;&gt;"")),"Marked Stay but has a container/vehicle/destination. ","")&amp;IF(G194="Missing","Reported missing. ","")&amp;IF(AND(P194&lt;&gt;"",N(P194)&lt;0),"Service overdue. ","")))</f>
        <v/>
      </c>
      <c r="S194" s="17" t="str">
        <f aca="false">IF(A194="","",IF(CHOOSE(MATCH(Find!$C$4,Lists!$K$2:$K$7,0),F194,E194,J194,K194,L194,G194)=Find!$C$5,MAX(S$4:S193)+1,""))</f>
        <v/>
      </c>
      <c r="T194" s="17" t="str">
        <f aca="false">IF(A194="","",IF(OR(J194=Manifest!$C$4,K194=Manifest!$C$4),MAX(T$4:T193)+1,""))</f>
        <v/>
      </c>
    </row>
    <row r="195" customFormat="false" ht="15" hidden="false" customHeight="false" outlineLevel="0" collapsed="false">
      <c r="C195" s="14"/>
      <c r="E195" s="14"/>
      <c r="F195" s="14"/>
      <c r="G195" s="14"/>
      <c r="H195" s="14"/>
      <c r="M195" s="12"/>
      <c r="O195" s="15" t="str">
        <f aca="false">IF(OR(M195="",N195=""),"",M195+N195)</f>
        <v/>
      </c>
      <c r="P195" s="16" t="str">
        <f aca="true">IF(O195="","",O195-TODAY())</f>
        <v/>
      </c>
      <c r="Q195" s="17" t="str">
        <f aca="false">IF(A195="","",TRIM(IF(E195="","No owner. ","")&amp;IF(F195="","No storage location. ","")&amp;IF(D195="","Serial missing. ","")&amp;IF(OR(H195="",H195="Undecided"),"No disposition. ","")&amp;IF(AND(H195="Ship",J195="",K195=""),"Shipping but no container/vehicle. ","")&amp;IF(AND(J195&lt;&gt;"",K195&lt;&gt;""),"In both a container and a vehicle. ","")&amp;IF(AND(H195="Ship",L195=""),"No destination. ","")&amp;IF(AND(J195&lt;&gt;"",L195&lt;&gt;"",IFERROR(VLOOKUP(J195,Containers!$A$5:$F$60,6,FALSE()),L195)&lt;&gt;L195),"Destination differs from container. ","")&amp;IF(AND(K195&lt;&gt;"",L195&lt;&gt;"",IFERROR(VLOOKUP(K195,Vehicles!$A$5:$F$60,6,FALSE()),L195)&lt;&gt;L195),"Destination differs from vehicle. ","")&amp;IF(AND(H195="Stay",OR(J195&lt;&gt;"",K195&lt;&gt;"",L195&lt;&gt;"")),"Marked Stay but has a container/vehicle/destination. ","")&amp;IF(G195="Missing","Reported missing. ","")&amp;IF(AND(P195&lt;&gt;"",N(P195)&lt;0),"Service overdue. ","")))</f>
        <v/>
      </c>
      <c r="S195" s="17" t="str">
        <f aca="false">IF(A195="","",IF(CHOOSE(MATCH(Find!$C$4,Lists!$K$2:$K$7,0),F195,E195,J195,K195,L195,G195)=Find!$C$5,MAX(S$4:S194)+1,""))</f>
        <v/>
      </c>
      <c r="T195" s="17" t="str">
        <f aca="false">IF(A195="","",IF(OR(J195=Manifest!$C$4,K195=Manifest!$C$4),MAX(T$4:T194)+1,""))</f>
        <v/>
      </c>
    </row>
    <row r="196" customFormat="false" ht="15" hidden="false" customHeight="false" outlineLevel="0" collapsed="false">
      <c r="C196" s="14"/>
      <c r="E196" s="14"/>
      <c r="F196" s="14"/>
      <c r="G196" s="14"/>
      <c r="H196" s="14"/>
      <c r="M196" s="12"/>
      <c r="O196" s="15" t="str">
        <f aca="false">IF(OR(M196="",N196=""),"",M196+N196)</f>
        <v/>
      </c>
      <c r="P196" s="16" t="str">
        <f aca="true">IF(O196="","",O196-TODAY())</f>
        <v/>
      </c>
      <c r="Q196" s="17" t="str">
        <f aca="false">IF(A196="","",TRIM(IF(E196="","No owner. ","")&amp;IF(F196="","No storage location. ","")&amp;IF(D196="","Serial missing. ","")&amp;IF(OR(H196="",H196="Undecided"),"No disposition. ","")&amp;IF(AND(H196="Ship",J196="",K196=""),"Shipping but no container/vehicle. ","")&amp;IF(AND(J196&lt;&gt;"",K196&lt;&gt;""),"In both a container and a vehicle. ","")&amp;IF(AND(H196="Ship",L196=""),"No destination. ","")&amp;IF(AND(J196&lt;&gt;"",L196&lt;&gt;"",IFERROR(VLOOKUP(J196,Containers!$A$5:$F$60,6,FALSE()),L196)&lt;&gt;L196),"Destination differs from container. ","")&amp;IF(AND(K196&lt;&gt;"",L196&lt;&gt;"",IFERROR(VLOOKUP(K196,Vehicles!$A$5:$F$60,6,FALSE()),L196)&lt;&gt;L196),"Destination differs from vehicle. ","")&amp;IF(AND(H196="Stay",OR(J196&lt;&gt;"",K196&lt;&gt;"",L196&lt;&gt;"")),"Marked Stay but has a container/vehicle/destination. ","")&amp;IF(G196="Missing","Reported missing. ","")&amp;IF(AND(P196&lt;&gt;"",N(P196)&lt;0),"Service overdue. ","")))</f>
        <v/>
      </c>
      <c r="S196" s="17" t="str">
        <f aca="false">IF(A196="","",IF(CHOOSE(MATCH(Find!$C$4,Lists!$K$2:$K$7,0),F196,E196,J196,K196,L196,G196)=Find!$C$5,MAX(S$4:S195)+1,""))</f>
        <v/>
      </c>
      <c r="T196" s="17" t="str">
        <f aca="false">IF(A196="","",IF(OR(J196=Manifest!$C$4,K196=Manifest!$C$4),MAX(T$4:T195)+1,""))</f>
        <v/>
      </c>
    </row>
    <row r="197" customFormat="false" ht="15" hidden="false" customHeight="false" outlineLevel="0" collapsed="false">
      <c r="C197" s="14"/>
      <c r="E197" s="14"/>
      <c r="F197" s="14"/>
      <c r="G197" s="14"/>
      <c r="H197" s="14"/>
      <c r="M197" s="12"/>
      <c r="O197" s="15" t="str">
        <f aca="false">IF(OR(M197="",N197=""),"",M197+N197)</f>
        <v/>
      </c>
      <c r="P197" s="16" t="str">
        <f aca="true">IF(O197="","",O197-TODAY())</f>
        <v/>
      </c>
      <c r="Q197" s="17" t="str">
        <f aca="false">IF(A197="","",TRIM(IF(E197="","No owner. ","")&amp;IF(F197="","No storage location. ","")&amp;IF(D197="","Serial missing. ","")&amp;IF(OR(H197="",H197="Undecided"),"No disposition. ","")&amp;IF(AND(H197="Ship",J197="",K197=""),"Shipping but no container/vehicle. ","")&amp;IF(AND(J197&lt;&gt;"",K197&lt;&gt;""),"In both a container and a vehicle. ","")&amp;IF(AND(H197="Ship",L197=""),"No destination. ","")&amp;IF(AND(J197&lt;&gt;"",L197&lt;&gt;"",IFERROR(VLOOKUP(J197,Containers!$A$5:$F$60,6,FALSE()),L197)&lt;&gt;L197),"Destination differs from container. ","")&amp;IF(AND(K197&lt;&gt;"",L197&lt;&gt;"",IFERROR(VLOOKUP(K197,Vehicles!$A$5:$F$60,6,FALSE()),L197)&lt;&gt;L197),"Destination differs from vehicle. ","")&amp;IF(AND(H197="Stay",OR(J197&lt;&gt;"",K197&lt;&gt;"",L197&lt;&gt;"")),"Marked Stay but has a container/vehicle/destination. ","")&amp;IF(G197="Missing","Reported missing. ","")&amp;IF(AND(P197&lt;&gt;"",N(P197)&lt;0),"Service overdue. ","")))</f>
        <v/>
      </c>
      <c r="S197" s="17" t="str">
        <f aca="false">IF(A197="","",IF(CHOOSE(MATCH(Find!$C$4,Lists!$K$2:$K$7,0),F197,E197,J197,K197,L197,G197)=Find!$C$5,MAX(S$4:S196)+1,""))</f>
        <v/>
      </c>
      <c r="T197" s="17" t="str">
        <f aca="false">IF(A197="","",IF(OR(J197=Manifest!$C$4,K197=Manifest!$C$4),MAX(T$4:T196)+1,""))</f>
        <v/>
      </c>
    </row>
    <row r="198" customFormat="false" ht="15" hidden="false" customHeight="false" outlineLevel="0" collapsed="false">
      <c r="C198" s="14"/>
      <c r="E198" s="14"/>
      <c r="F198" s="14"/>
      <c r="G198" s="14"/>
      <c r="H198" s="14"/>
      <c r="M198" s="12"/>
      <c r="O198" s="15" t="str">
        <f aca="false">IF(OR(M198="",N198=""),"",M198+N198)</f>
        <v/>
      </c>
      <c r="P198" s="16" t="str">
        <f aca="true">IF(O198="","",O198-TODAY())</f>
        <v/>
      </c>
      <c r="Q198" s="17" t="str">
        <f aca="false">IF(A198="","",TRIM(IF(E198="","No owner. ","")&amp;IF(F198="","No storage location. ","")&amp;IF(D198="","Serial missing. ","")&amp;IF(OR(H198="",H198="Undecided"),"No disposition. ","")&amp;IF(AND(H198="Ship",J198="",K198=""),"Shipping but no container/vehicle. ","")&amp;IF(AND(J198&lt;&gt;"",K198&lt;&gt;""),"In both a container and a vehicle. ","")&amp;IF(AND(H198="Ship",L198=""),"No destination. ","")&amp;IF(AND(J198&lt;&gt;"",L198&lt;&gt;"",IFERROR(VLOOKUP(J198,Containers!$A$5:$F$60,6,FALSE()),L198)&lt;&gt;L198),"Destination differs from container. ","")&amp;IF(AND(K198&lt;&gt;"",L198&lt;&gt;"",IFERROR(VLOOKUP(K198,Vehicles!$A$5:$F$60,6,FALSE()),L198)&lt;&gt;L198),"Destination differs from vehicle. ","")&amp;IF(AND(H198="Stay",OR(J198&lt;&gt;"",K198&lt;&gt;"",L198&lt;&gt;"")),"Marked Stay but has a container/vehicle/destination. ","")&amp;IF(G198="Missing","Reported missing. ","")&amp;IF(AND(P198&lt;&gt;"",N(P198)&lt;0),"Service overdue. ","")))</f>
        <v/>
      </c>
      <c r="S198" s="17" t="str">
        <f aca="false">IF(A198="","",IF(CHOOSE(MATCH(Find!$C$4,Lists!$K$2:$K$7,0),F198,E198,J198,K198,L198,G198)=Find!$C$5,MAX(S$4:S197)+1,""))</f>
        <v/>
      </c>
      <c r="T198" s="17" t="str">
        <f aca="false">IF(A198="","",IF(OR(J198=Manifest!$C$4,K198=Manifest!$C$4),MAX(T$4:T197)+1,""))</f>
        <v/>
      </c>
    </row>
    <row r="199" customFormat="false" ht="15" hidden="false" customHeight="false" outlineLevel="0" collapsed="false">
      <c r="C199" s="14"/>
      <c r="E199" s="14"/>
      <c r="F199" s="14"/>
      <c r="G199" s="14"/>
      <c r="H199" s="14"/>
      <c r="M199" s="12"/>
      <c r="O199" s="15" t="str">
        <f aca="false">IF(OR(M199="",N199=""),"",M199+N199)</f>
        <v/>
      </c>
      <c r="P199" s="16" t="str">
        <f aca="true">IF(O199="","",O199-TODAY())</f>
        <v/>
      </c>
      <c r="Q199" s="17" t="str">
        <f aca="false">IF(A199="","",TRIM(IF(E199="","No owner. ","")&amp;IF(F199="","No storage location. ","")&amp;IF(D199="","Serial missing. ","")&amp;IF(OR(H199="",H199="Undecided"),"No disposition. ","")&amp;IF(AND(H199="Ship",J199="",K199=""),"Shipping but no container/vehicle. ","")&amp;IF(AND(J199&lt;&gt;"",K199&lt;&gt;""),"In both a container and a vehicle. ","")&amp;IF(AND(H199="Ship",L199=""),"No destination. ","")&amp;IF(AND(J199&lt;&gt;"",L199&lt;&gt;"",IFERROR(VLOOKUP(J199,Containers!$A$5:$F$60,6,FALSE()),L199)&lt;&gt;L199),"Destination differs from container. ","")&amp;IF(AND(K199&lt;&gt;"",L199&lt;&gt;"",IFERROR(VLOOKUP(K199,Vehicles!$A$5:$F$60,6,FALSE()),L199)&lt;&gt;L199),"Destination differs from vehicle. ","")&amp;IF(AND(H199="Stay",OR(J199&lt;&gt;"",K199&lt;&gt;"",L199&lt;&gt;"")),"Marked Stay but has a container/vehicle/destination. ","")&amp;IF(G199="Missing","Reported missing. ","")&amp;IF(AND(P199&lt;&gt;"",N(P199)&lt;0),"Service overdue. ","")))</f>
        <v/>
      </c>
      <c r="S199" s="17" t="str">
        <f aca="false">IF(A199="","",IF(CHOOSE(MATCH(Find!$C$4,Lists!$K$2:$K$7,0),F199,E199,J199,K199,L199,G199)=Find!$C$5,MAX(S$4:S198)+1,""))</f>
        <v/>
      </c>
      <c r="T199" s="17" t="str">
        <f aca="false">IF(A199="","",IF(OR(J199=Manifest!$C$4,K199=Manifest!$C$4),MAX(T$4:T198)+1,""))</f>
        <v/>
      </c>
    </row>
    <row r="200" customFormat="false" ht="15" hidden="false" customHeight="false" outlineLevel="0" collapsed="false">
      <c r="C200" s="14"/>
      <c r="E200" s="14"/>
      <c r="F200" s="14"/>
      <c r="G200" s="14"/>
      <c r="H200" s="14"/>
      <c r="M200" s="12"/>
      <c r="O200" s="15" t="str">
        <f aca="false">IF(OR(M200="",N200=""),"",M200+N200)</f>
        <v/>
      </c>
      <c r="P200" s="16" t="str">
        <f aca="true">IF(O200="","",O200-TODAY())</f>
        <v/>
      </c>
      <c r="Q200" s="17" t="str">
        <f aca="false">IF(A200="","",TRIM(IF(E200="","No owner. ","")&amp;IF(F200="","No storage location. ","")&amp;IF(D200="","Serial missing. ","")&amp;IF(OR(H200="",H200="Undecided"),"No disposition. ","")&amp;IF(AND(H200="Ship",J200="",K200=""),"Shipping but no container/vehicle. ","")&amp;IF(AND(J200&lt;&gt;"",K200&lt;&gt;""),"In both a container and a vehicle. ","")&amp;IF(AND(H200="Ship",L200=""),"No destination. ","")&amp;IF(AND(J200&lt;&gt;"",L200&lt;&gt;"",IFERROR(VLOOKUP(J200,Containers!$A$5:$F$60,6,FALSE()),L200)&lt;&gt;L200),"Destination differs from container. ","")&amp;IF(AND(K200&lt;&gt;"",L200&lt;&gt;"",IFERROR(VLOOKUP(K200,Vehicles!$A$5:$F$60,6,FALSE()),L200)&lt;&gt;L200),"Destination differs from vehicle. ","")&amp;IF(AND(H200="Stay",OR(J200&lt;&gt;"",K200&lt;&gt;"",L200&lt;&gt;"")),"Marked Stay but has a container/vehicle/destination. ","")&amp;IF(G200="Missing","Reported missing. ","")&amp;IF(AND(P200&lt;&gt;"",N(P200)&lt;0),"Service overdue. ","")))</f>
        <v/>
      </c>
      <c r="S200" s="17" t="str">
        <f aca="false">IF(A200="","",IF(CHOOSE(MATCH(Find!$C$4,Lists!$K$2:$K$7,0),F200,E200,J200,K200,L200,G200)=Find!$C$5,MAX(S$4:S199)+1,""))</f>
        <v/>
      </c>
      <c r="T200" s="17" t="str">
        <f aca="false">IF(A200="","",IF(OR(J200=Manifest!$C$4,K200=Manifest!$C$4),MAX(T$4:T199)+1,""))</f>
        <v/>
      </c>
    </row>
    <row r="201" customFormat="false" ht="15" hidden="false" customHeight="false" outlineLevel="0" collapsed="false">
      <c r="C201" s="14"/>
      <c r="E201" s="14"/>
      <c r="F201" s="14"/>
      <c r="G201" s="14"/>
      <c r="H201" s="14"/>
      <c r="M201" s="12"/>
      <c r="O201" s="15" t="str">
        <f aca="false">IF(OR(M201="",N201=""),"",M201+N201)</f>
        <v/>
      </c>
      <c r="P201" s="16" t="str">
        <f aca="true">IF(O201="","",O201-TODAY())</f>
        <v/>
      </c>
      <c r="Q201" s="17" t="str">
        <f aca="false">IF(A201="","",TRIM(IF(E201="","No owner. ","")&amp;IF(F201="","No storage location. ","")&amp;IF(D201="","Serial missing. ","")&amp;IF(OR(H201="",H201="Undecided"),"No disposition. ","")&amp;IF(AND(H201="Ship",J201="",K201=""),"Shipping but no container/vehicle. ","")&amp;IF(AND(J201&lt;&gt;"",K201&lt;&gt;""),"In both a container and a vehicle. ","")&amp;IF(AND(H201="Ship",L201=""),"No destination. ","")&amp;IF(AND(J201&lt;&gt;"",L201&lt;&gt;"",IFERROR(VLOOKUP(J201,Containers!$A$5:$F$60,6,FALSE()),L201)&lt;&gt;L201),"Destination differs from container. ","")&amp;IF(AND(K201&lt;&gt;"",L201&lt;&gt;"",IFERROR(VLOOKUP(K201,Vehicles!$A$5:$F$60,6,FALSE()),L201)&lt;&gt;L201),"Destination differs from vehicle. ","")&amp;IF(AND(H201="Stay",OR(J201&lt;&gt;"",K201&lt;&gt;"",L201&lt;&gt;"")),"Marked Stay but has a container/vehicle/destination. ","")&amp;IF(G201="Missing","Reported missing. ","")&amp;IF(AND(P201&lt;&gt;"",N(P201)&lt;0),"Service overdue. ","")))</f>
        <v/>
      </c>
      <c r="S201" s="17" t="str">
        <f aca="false">IF(A201="","",IF(CHOOSE(MATCH(Find!$C$4,Lists!$K$2:$K$7,0),F201,E201,J201,K201,L201,G201)=Find!$C$5,MAX(S$4:S200)+1,""))</f>
        <v/>
      </c>
      <c r="T201" s="17" t="str">
        <f aca="false">IF(A201="","",IF(OR(J201=Manifest!$C$4,K201=Manifest!$C$4),MAX(T$4:T200)+1,""))</f>
        <v/>
      </c>
    </row>
    <row r="202" customFormat="false" ht="15" hidden="false" customHeight="false" outlineLevel="0" collapsed="false">
      <c r="C202" s="14"/>
      <c r="E202" s="14"/>
      <c r="F202" s="14"/>
      <c r="G202" s="14"/>
      <c r="H202" s="14"/>
      <c r="M202" s="12"/>
      <c r="O202" s="15" t="str">
        <f aca="false">IF(OR(M202="",N202=""),"",M202+N202)</f>
        <v/>
      </c>
      <c r="P202" s="16" t="str">
        <f aca="true">IF(O202="","",O202-TODAY())</f>
        <v/>
      </c>
      <c r="Q202" s="17" t="str">
        <f aca="false">IF(A202="","",TRIM(IF(E202="","No owner. ","")&amp;IF(F202="","No storage location. ","")&amp;IF(D202="","Serial missing. ","")&amp;IF(OR(H202="",H202="Undecided"),"No disposition. ","")&amp;IF(AND(H202="Ship",J202="",K202=""),"Shipping but no container/vehicle. ","")&amp;IF(AND(J202&lt;&gt;"",K202&lt;&gt;""),"In both a container and a vehicle. ","")&amp;IF(AND(H202="Ship",L202=""),"No destination. ","")&amp;IF(AND(J202&lt;&gt;"",L202&lt;&gt;"",IFERROR(VLOOKUP(J202,Containers!$A$5:$F$60,6,FALSE()),L202)&lt;&gt;L202),"Destination differs from container. ","")&amp;IF(AND(K202&lt;&gt;"",L202&lt;&gt;"",IFERROR(VLOOKUP(K202,Vehicles!$A$5:$F$60,6,FALSE()),L202)&lt;&gt;L202),"Destination differs from vehicle. ","")&amp;IF(AND(H202="Stay",OR(J202&lt;&gt;"",K202&lt;&gt;"",L202&lt;&gt;"")),"Marked Stay but has a container/vehicle/destination. ","")&amp;IF(G202="Missing","Reported missing. ","")&amp;IF(AND(P202&lt;&gt;"",N(P202)&lt;0),"Service overdue. ","")))</f>
        <v/>
      </c>
      <c r="S202" s="17" t="str">
        <f aca="false">IF(A202="","",IF(CHOOSE(MATCH(Find!$C$4,Lists!$K$2:$K$7,0),F202,E202,J202,K202,L202,G202)=Find!$C$5,MAX(S$4:S201)+1,""))</f>
        <v/>
      </c>
      <c r="T202" s="17" t="str">
        <f aca="false">IF(A202="","",IF(OR(J202=Manifest!$C$4,K202=Manifest!$C$4),MAX(T$4:T201)+1,""))</f>
        <v/>
      </c>
    </row>
    <row r="203" customFormat="false" ht="15" hidden="false" customHeight="false" outlineLevel="0" collapsed="false">
      <c r="C203" s="14"/>
      <c r="E203" s="14"/>
      <c r="F203" s="14"/>
      <c r="G203" s="14"/>
      <c r="H203" s="14"/>
      <c r="M203" s="12"/>
      <c r="O203" s="15" t="str">
        <f aca="false">IF(OR(M203="",N203=""),"",M203+N203)</f>
        <v/>
      </c>
      <c r="P203" s="16" t="str">
        <f aca="true">IF(O203="","",O203-TODAY())</f>
        <v/>
      </c>
      <c r="Q203" s="17" t="str">
        <f aca="false">IF(A203="","",TRIM(IF(E203="","No owner. ","")&amp;IF(F203="","No storage location. ","")&amp;IF(D203="","Serial missing. ","")&amp;IF(OR(H203="",H203="Undecided"),"No disposition. ","")&amp;IF(AND(H203="Ship",J203="",K203=""),"Shipping but no container/vehicle. ","")&amp;IF(AND(J203&lt;&gt;"",K203&lt;&gt;""),"In both a container and a vehicle. ","")&amp;IF(AND(H203="Ship",L203=""),"No destination. ","")&amp;IF(AND(J203&lt;&gt;"",L203&lt;&gt;"",IFERROR(VLOOKUP(J203,Containers!$A$5:$F$60,6,FALSE()),L203)&lt;&gt;L203),"Destination differs from container. ","")&amp;IF(AND(K203&lt;&gt;"",L203&lt;&gt;"",IFERROR(VLOOKUP(K203,Vehicles!$A$5:$F$60,6,FALSE()),L203)&lt;&gt;L203),"Destination differs from vehicle. ","")&amp;IF(AND(H203="Stay",OR(J203&lt;&gt;"",K203&lt;&gt;"",L203&lt;&gt;"")),"Marked Stay but has a container/vehicle/destination. ","")&amp;IF(G203="Missing","Reported missing. ","")&amp;IF(AND(P203&lt;&gt;"",N(P203)&lt;0),"Service overdue. ","")))</f>
        <v/>
      </c>
      <c r="S203" s="17" t="str">
        <f aca="false">IF(A203="","",IF(CHOOSE(MATCH(Find!$C$4,Lists!$K$2:$K$7,0),F203,E203,J203,K203,L203,G203)=Find!$C$5,MAX(S$4:S202)+1,""))</f>
        <v/>
      </c>
      <c r="T203" s="17" t="str">
        <f aca="false">IF(A203="","",IF(OR(J203=Manifest!$C$4,K203=Manifest!$C$4),MAX(T$4:T202)+1,""))</f>
        <v/>
      </c>
    </row>
    <row r="204" customFormat="false" ht="15" hidden="false" customHeight="false" outlineLevel="0" collapsed="false">
      <c r="C204" s="14"/>
      <c r="E204" s="14"/>
      <c r="F204" s="14"/>
      <c r="G204" s="14"/>
      <c r="H204" s="14"/>
      <c r="M204" s="12"/>
      <c r="O204" s="15" t="str">
        <f aca="false">IF(OR(M204="",N204=""),"",M204+N204)</f>
        <v/>
      </c>
      <c r="P204" s="16" t="str">
        <f aca="true">IF(O204="","",O204-TODAY())</f>
        <v/>
      </c>
      <c r="Q204" s="17" t="str">
        <f aca="false">IF(A204="","",TRIM(IF(E204="","No owner. ","")&amp;IF(F204="","No storage location. ","")&amp;IF(D204="","Serial missing. ","")&amp;IF(OR(H204="",H204="Undecided"),"No disposition. ","")&amp;IF(AND(H204="Ship",J204="",K204=""),"Shipping but no container/vehicle. ","")&amp;IF(AND(J204&lt;&gt;"",K204&lt;&gt;""),"In both a container and a vehicle. ","")&amp;IF(AND(H204="Ship",L204=""),"No destination. ","")&amp;IF(AND(J204&lt;&gt;"",L204&lt;&gt;"",IFERROR(VLOOKUP(J204,Containers!$A$5:$F$60,6,FALSE()),L204)&lt;&gt;L204),"Destination differs from container. ","")&amp;IF(AND(K204&lt;&gt;"",L204&lt;&gt;"",IFERROR(VLOOKUP(K204,Vehicles!$A$5:$F$60,6,FALSE()),L204)&lt;&gt;L204),"Destination differs from vehicle. ","")&amp;IF(AND(H204="Stay",OR(J204&lt;&gt;"",K204&lt;&gt;"",L204&lt;&gt;"")),"Marked Stay but has a container/vehicle/destination. ","")&amp;IF(G204="Missing","Reported missing. ","")&amp;IF(AND(P204&lt;&gt;"",N(P204)&lt;0),"Service overdue. ","")))</f>
        <v/>
      </c>
      <c r="S204" s="17" t="str">
        <f aca="false">IF(A204="","",IF(CHOOSE(MATCH(Find!$C$4,Lists!$K$2:$K$7,0),F204,E204,J204,K204,L204,G204)=Find!$C$5,MAX(S$4:S203)+1,""))</f>
        <v/>
      </c>
      <c r="T204" s="17" t="str">
        <f aca="false">IF(A204="","",IF(OR(J204=Manifest!$C$4,K204=Manifest!$C$4),MAX(T$4:T203)+1,""))</f>
        <v/>
      </c>
    </row>
    <row r="205" customFormat="false" ht="15" hidden="false" customHeight="false" outlineLevel="0" collapsed="false">
      <c r="C205" s="14"/>
      <c r="E205" s="14"/>
      <c r="F205" s="14"/>
      <c r="G205" s="14"/>
      <c r="H205" s="14"/>
      <c r="M205" s="12"/>
      <c r="O205" s="15" t="str">
        <f aca="false">IF(OR(M205="",N205=""),"",M205+N205)</f>
        <v/>
      </c>
      <c r="P205" s="16" t="str">
        <f aca="true">IF(O205="","",O205-TODAY())</f>
        <v/>
      </c>
      <c r="Q205" s="17" t="str">
        <f aca="false">IF(A205="","",TRIM(IF(E205="","No owner. ","")&amp;IF(F205="","No storage location. ","")&amp;IF(D205="","Serial missing. ","")&amp;IF(OR(H205="",H205="Undecided"),"No disposition. ","")&amp;IF(AND(H205="Ship",J205="",K205=""),"Shipping but no container/vehicle. ","")&amp;IF(AND(J205&lt;&gt;"",K205&lt;&gt;""),"In both a container and a vehicle. ","")&amp;IF(AND(H205="Ship",L205=""),"No destination. ","")&amp;IF(AND(J205&lt;&gt;"",L205&lt;&gt;"",IFERROR(VLOOKUP(J205,Containers!$A$5:$F$60,6,FALSE()),L205)&lt;&gt;L205),"Destination differs from container. ","")&amp;IF(AND(K205&lt;&gt;"",L205&lt;&gt;"",IFERROR(VLOOKUP(K205,Vehicles!$A$5:$F$60,6,FALSE()),L205)&lt;&gt;L205),"Destination differs from vehicle. ","")&amp;IF(AND(H205="Stay",OR(J205&lt;&gt;"",K205&lt;&gt;"",L205&lt;&gt;"")),"Marked Stay but has a container/vehicle/destination. ","")&amp;IF(G205="Missing","Reported missing. ","")&amp;IF(AND(P205&lt;&gt;"",N(P205)&lt;0),"Service overdue. ","")))</f>
        <v/>
      </c>
      <c r="S205" s="17" t="str">
        <f aca="false">IF(A205="","",IF(CHOOSE(MATCH(Find!$C$4,Lists!$K$2:$K$7,0),F205,E205,J205,K205,L205,G205)=Find!$C$5,MAX(S$4:S204)+1,""))</f>
        <v/>
      </c>
      <c r="T205" s="17" t="str">
        <f aca="false">IF(A205="","",IF(OR(J205=Manifest!$C$4,K205=Manifest!$C$4),MAX(T$4:T204)+1,""))</f>
        <v/>
      </c>
    </row>
    <row r="206" customFormat="false" ht="15" hidden="false" customHeight="false" outlineLevel="0" collapsed="false">
      <c r="C206" s="14"/>
      <c r="E206" s="14"/>
      <c r="F206" s="14"/>
      <c r="G206" s="14"/>
      <c r="H206" s="14"/>
      <c r="M206" s="12"/>
      <c r="O206" s="15" t="str">
        <f aca="false">IF(OR(M206="",N206=""),"",M206+N206)</f>
        <v/>
      </c>
      <c r="P206" s="16" t="str">
        <f aca="true">IF(O206="","",O206-TODAY())</f>
        <v/>
      </c>
      <c r="Q206" s="17" t="str">
        <f aca="false">IF(A206="","",TRIM(IF(E206="","No owner. ","")&amp;IF(F206="","No storage location. ","")&amp;IF(D206="","Serial missing. ","")&amp;IF(OR(H206="",H206="Undecided"),"No disposition. ","")&amp;IF(AND(H206="Ship",J206="",K206=""),"Shipping but no container/vehicle. ","")&amp;IF(AND(J206&lt;&gt;"",K206&lt;&gt;""),"In both a container and a vehicle. ","")&amp;IF(AND(H206="Ship",L206=""),"No destination. ","")&amp;IF(AND(J206&lt;&gt;"",L206&lt;&gt;"",IFERROR(VLOOKUP(J206,Containers!$A$5:$F$60,6,FALSE()),L206)&lt;&gt;L206),"Destination differs from container. ","")&amp;IF(AND(K206&lt;&gt;"",L206&lt;&gt;"",IFERROR(VLOOKUP(K206,Vehicles!$A$5:$F$60,6,FALSE()),L206)&lt;&gt;L206),"Destination differs from vehicle. ","")&amp;IF(AND(H206="Stay",OR(J206&lt;&gt;"",K206&lt;&gt;"",L206&lt;&gt;"")),"Marked Stay but has a container/vehicle/destination. ","")&amp;IF(G206="Missing","Reported missing. ","")&amp;IF(AND(P206&lt;&gt;"",N(P206)&lt;0),"Service overdue. ","")))</f>
        <v/>
      </c>
      <c r="S206" s="17" t="str">
        <f aca="false">IF(A206="","",IF(CHOOSE(MATCH(Find!$C$4,Lists!$K$2:$K$7,0),F206,E206,J206,K206,L206,G206)=Find!$C$5,MAX(S$4:S205)+1,""))</f>
        <v/>
      </c>
      <c r="T206" s="17" t="str">
        <f aca="false">IF(A206="","",IF(OR(J206=Manifest!$C$4,K206=Manifest!$C$4),MAX(T$4:T205)+1,""))</f>
        <v/>
      </c>
    </row>
    <row r="207" customFormat="false" ht="15" hidden="false" customHeight="false" outlineLevel="0" collapsed="false">
      <c r="C207" s="14"/>
      <c r="E207" s="14"/>
      <c r="F207" s="14"/>
      <c r="G207" s="14"/>
      <c r="H207" s="14"/>
      <c r="M207" s="12"/>
      <c r="O207" s="15" t="str">
        <f aca="false">IF(OR(M207="",N207=""),"",M207+N207)</f>
        <v/>
      </c>
      <c r="P207" s="16" t="str">
        <f aca="true">IF(O207="","",O207-TODAY())</f>
        <v/>
      </c>
      <c r="Q207" s="17" t="str">
        <f aca="false">IF(A207="","",TRIM(IF(E207="","No owner. ","")&amp;IF(F207="","No storage location. ","")&amp;IF(D207="","Serial missing. ","")&amp;IF(OR(H207="",H207="Undecided"),"No disposition. ","")&amp;IF(AND(H207="Ship",J207="",K207=""),"Shipping but no container/vehicle. ","")&amp;IF(AND(J207&lt;&gt;"",K207&lt;&gt;""),"In both a container and a vehicle. ","")&amp;IF(AND(H207="Ship",L207=""),"No destination. ","")&amp;IF(AND(J207&lt;&gt;"",L207&lt;&gt;"",IFERROR(VLOOKUP(J207,Containers!$A$5:$F$60,6,FALSE()),L207)&lt;&gt;L207),"Destination differs from container. ","")&amp;IF(AND(K207&lt;&gt;"",L207&lt;&gt;"",IFERROR(VLOOKUP(K207,Vehicles!$A$5:$F$60,6,FALSE()),L207)&lt;&gt;L207),"Destination differs from vehicle. ","")&amp;IF(AND(H207="Stay",OR(J207&lt;&gt;"",K207&lt;&gt;"",L207&lt;&gt;"")),"Marked Stay but has a container/vehicle/destination. ","")&amp;IF(G207="Missing","Reported missing. ","")&amp;IF(AND(P207&lt;&gt;"",N(P207)&lt;0),"Service overdue. ","")))</f>
        <v/>
      </c>
      <c r="S207" s="17" t="str">
        <f aca="false">IF(A207="","",IF(CHOOSE(MATCH(Find!$C$4,Lists!$K$2:$K$7,0),F207,E207,J207,K207,L207,G207)=Find!$C$5,MAX(S$4:S206)+1,""))</f>
        <v/>
      </c>
      <c r="T207" s="17" t="str">
        <f aca="false">IF(A207="","",IF(OR(J207=Manifest!$C$4,K207=Manifest!$C$4),MAX(T$4:T206)+1,""))</f>
        <v/>
      </c>
    </row>
    <row r="208" customFormat="false" ht="15" hidden="false" customHeight="false" outlineLevel="0" collapsed="false">
      <c r="C208" s="14"/>
      <c r="E208" s="14"/>
      <c r="F208" s="14"/>
      <c r="G208" s="14"/>
      <c r="H208" s="14"/>
      <c r="M208" s="12"/>
      <c r="O208" s="15" t="str">
        <f aca="false">IF(OR(M208="",N208=""),"",M208+N208)</f>
        <v/>
      </c>
      <c r="P208" s="16" t="str">
        <f aca="true">IF(O208="","",O208-TODAY())</f>
        <v/>
      </c>
      <c r="Q208" s="17" t="str">
        <f aca="false">IF(A208="","",TRIM(IF(E208="","No owner. ","")&amp;IF(F208="","No storage location. ","")&amp;IF(D208="","Serial missing. ","")&amp;IF(OR(H208="",H208="Undecided"),"No disposition. ","")&amp;IF(AND(H208="Ship",J208="",K208=""),"Shipping but no container/vehicle. ","")&amp;IF(AND(J208&lt;&gt;"",K208&lt;&gt;""),"In both a container and a vehicle. ","")&amp;IF(AND(H208="Ship",L208=""),"No destination. ","")&amp;IF(AND(J208&lt;&gt;"",L208&lt;&gt;"",IFERROR(VLOOKUP(J208,Containers!$A$5:$F$60,6,FALSE()),L208)&lt;&gt;L208),"Destination differs from container. ","")&amp;IF(AND(K208&lt;&gt;"",L208&lt;&gt;"",IFERROR(VLOOKUP(K208,Vehicles!$A$5:$F$60,6,FALSE()),L208)&lt;&gt;L208),"Destination differs from vehicle. ","")&amp;IF(AND(H208="Stay",OR(J208&lt;&gt;"",K208&lt;&gt;"",L208&lt;&gt;"")),"Marked Stay but has a container/vehicle/destination. ","")&amp;IF(G208="Missing","Reported missing. ","")&amp;IF(AND(P208&lt;&gt;"",N(P208)&lt;0),"Service overdue. ","")))</f>
        <v/>
      </c>
      <c r="S208" s="17" t="str">
        <f aca="false">IF(A208="","",IF(CHOOSE(MATCH(Find!$C$4,Lists!$K$2:$K$7,0),F208,E208,J208,K208,L208,G208)=Find!$C$5,MAX(S$4:S207)+1,""))</f>
        <v/>
      </c>
      <c r="T208" s="17" t="str">
        <f aca="false">IF(A208="","",IF(OR(J208=Manifest!$C$4,K208=Manifest!$C$4),MAX(T$4:T207)+1,""))</f>
        <v/>
      </c>
    </row>
    <row r="209" customFormat="false" ht="15" hidden="false" customHeight="false" outlineLevel="0" collapsed="false">
      <c r="C209" s="14"/>
      <c r="E209" s="14"/>
      <c r="F209" s="14"/>
      <c r="G209" s="14"/>
      <c r="H209" s="14"/>
      <c r="M209" s="12"/>
      <c r="O209" s="15" t="str">
        <f aca="false">IF(OR(M209="",N209=""),"",M209+N209)</f>
        <v/>
      </c>
      <c r="P209" s="16" t="str">
        <f aca="true">IF(O209="","",O209-TODAY())</f>
        <v/>
      </c>
      <c r="Q209" s="17" t="str">
        <f aca="false">IF(A209="","",TRIM(IF(E209="","No owner. ","")&amp;IF(F209="","No storage location. ","")&amp;IF(D209="","Serial missing. ","")&amp;IF(OR(H209="",H209="Undecided"),"No disposition. ","")&amp;IF(AND(H209="Ship",J209="",K209=""),"Shipping but no container/vehicle. ","")&amp;IF(AND(J209&lt;&gt;"",K209&lt;&gt;""),"In both a container and a vehicle. ","")&amp;IF(AND(H209="Ship",L209=""),"No destination. ","")&amp;IF(AND(J209&lt;&gt;"",L209&lt;&gt;"",IFERROR(VLOOKUP(J209,Containers!$A$5:$F$60,6,FALSE()),L209)&lt;&gt;L209),"Destination differs from container. ","")&amp;IF(AND(K209&lt;&gt;"",L209&lt;&gt;"",IFERROR(VLOOKUP(K209,Vehicles!$A$5:$F$60,6,FALSE()),L209)&lt;&gt;L209),"Destination differs from vehicle. ","")&amp;IF(AND(H209="Stay",OR(J209&lt;&gt;"",K209&lt;&gt;"",L209&lt;&gt;"")),"Marked Stay but has a container/vehicle/destination. ","")&amp;IF(G209="Missing","Reported missing. ","")&amp;IF(AND(P209&lt;&gt;"",N(P209)&lt;0),"Service overdue. ","")))</f>
        <v/>
      </c>
      <c r="S209" s="17" t="str">
        <f aca="false">IF(A209="","",IF(CHOOSE(MATCH(Find!$C$4,Lists!$K$2:$K$7,0),F209,E209,J209,K209,L209,G209)=Find!$C$5,MAX(S$4:S208)+1,""))</f>
        <v/>
      </c>
      <c r="T209" s="17" t="str">
        <f aca="false">IF(A209="","",IF(OR(J209=Manifest!$C$4,K209=Manifest!$C$4),MAX(T$4:T208)+1,""))</f>
        <v/>
      </c>
    </row>
    <row r="210" customFormat="false" ht="15" hidden="false" customHeight="false" outlineLevel="0" collapsed="false">
      <c r="C210" s="14"/>
      <c r="E210" s="14"/>
      <c r="F210" s="14"/>
      <c r="G210" s="14"/>
      <c r="H210" s="14"/>
      <c r="M210" s="12"/>
      <c r="O210" s="15" t="str">
        <f aca="false">IF(OR(M210="",N210=""),"",M210+N210)</f>
        <v/>
      </c>
      <c r="P210" s="16" t="str">
        <f aca="true">IF(O210="","",O210-TODAY())</f>
        <v/>
      </c>
      <c r="Q210" s="17" t="str">
        <f aca="false">IF(A210="","",TRIM(IF(E210="","No owner. ","")&amp;IF(F210="","No storage location. ","")&amp;IF(D210="","Serial missing. ","")&amp;IF(OR(H210="",H210="Undecided"),"No disposition. ","")&amp;IF(AND(H210="Ship",J210="",K210=""),"Shipping but no container/vehicle. ","")&amp;IF(AND(J210&lt;&gt;"",K210&lt;&gt;""),"In both a container and a vehicle. ","")&amp;IF(AND(H210="Ship",L210=""),"No destination. ","")&amp;IF(AND(J210&lt;&gt;"",L210&lt;&gt;"",IFERROR(VLOOKUP(J210,Containers!$A$5:$F$60,6,FALSE()),L210)&lt;&gt;L210),"Destination differs from container. ","")&amp;IF(AND(K210&lt;&gt;"",L210&lt;&gt;"",IFERROR(VLOOKUP(K210,Vehicles!$A$5:$F$60,6,FALSE()),L210)&lt;&gt;L210),"Destination differs from vehicle. ","")&amp;IF(AND(H210="Stay",OR(J210&lt;&gt;"",K210&lt;&gt;"",L210&lt;&gt;"")),"Marked Stay but has a container/vehicle/destination. ","")&amp;IF(G210="Missing","Reported missing. ","")&amp;IF(AND(P210&lt;&gt;"",N(P210)&lt;0),"Service overdue. ","")))</f>
        <v/>
      </c>
      <c r="S210" s="17" t="str">
        <f aca="false">IF(A210="","",IF(CHOOSE(MATCH(Find!$C$4,Lists!$K$2:$K$7,0),F210,E210,J210,K210,L210,G210)=Find!$C$5,MAX(S$4:S209)+1,""))</f>
        <v/>
      </c>
      <c r="T210" s="17" t="str">
        <f aca="false">IF(A210="","",IF(OR(J210=Manifest!$C$4,K210=Manifest!$C$4),MAX(T$4:T209)+1,""))</f>
        <v/>
      </c>
    </row>
    <row r="211" customFormat="false" ht="15" hidden="false" customHeight="false" outlineLevel="0" collapsed="false">
      <c r="C211" s="14"/>
      <c r="E211" s="14"/>
      <c r="F211" s="14"/>
      <c r="G211" s="14"/>
      <c r="H211" s="14"/>
      <c r="M211" s="12"/>
      <c r="O211" s="15" t="str">
        <f aca="false">IF(OR(M211="",N211=""),"",M211+N211)</f>
        <v/>
      </c>
      <c r="P211" s="16" t="str">
        <f aca="true">IF(O211="","",O211-TODAY())</f>
        <v/>
      </c>
      <c r="Q211" s="17" t="str">
        <f aca="false">IF(A211="","",TRIM(IF(E211="","No owner. ","")&amp;IF(F211="","No storage location. ","")&amp;IF(D211="","Serial missing. ","")&amp;IF(OR(H211="",H211="Undecided"),"No disposition. ","")&amp;IF(AND(H211="Ship",J211="",K211=""),"Shipping but no container/vehicle. ","")&amp;IF(AND(J211&lt;&gt;"",K211&lt;&gt;""),"In both a container and a vehicle. ","")&amp;IF(AND(H211="Ship",L211=""),"No destination. ","")&amp;IF(AND(J211&lt;&gt;"",L211&lt;&gt;"",IFERROR(VLOOKUP(J211,Containers!$A$5:$F$60,6,FALSE()),L211)&lt;&gt;L211),"Destination differs from container. ","")&amp;IF(AND(K211&lt;&gt;"",L211&lt;&gt;"",IFERROR(VLOOKUP(K211,Vehicles!$A$5:$F$60,6,FALSE()),L211)&lt;&gt;L211),"Destination differs from vehicle. ","")&amp;IF(AND(H211="Stay",OR(J211&lt;&gt;"",K211&lt;&gt;"",L211&lt;&gt;"")),"Marked Stay but has a container/vehicle/destination. ","")&amp;IF(G211="Missing","Reported missing. ","")&amp;IF(AND(P211&lt;&gt;"",N(P211)&lt;0),"Service overdue. ","")))</f>
        <v/>
      </c>
      <c r="S211" s="17" t="str">
        <f aca="false">IF(A211="","",IF(CHOOSE(MATCH(Find!$C$4,Lists!$K$2:$K$7,0),F211,E211,J211,K211,L211,G211)=Find!$C$5,MAX(S$4:S210)+1,""))</f>
        <v/>
      </c>
      <c r="T211" s="17" t="str">
        <f aca="false">IF(A211="","",IF(OR(J211=Manifest!$C$4,K211=Manifest!$C$4),MAX(T$4:T210)+1,""))</f>
        <v/>
      </c>
    </row>
    <row r="212" customFormat="false" ht="15" hidden="false" customHeight="false" outlineLevel="0" collapsed="false">
      <c r="C212" s="14"/>
      <c r="E212" s="14"/>
      <c r="F212" s="14"/>
      <c r="G212" s="14"/>
      <c r="H212" s="14"/>
      <c r="M212" s="12"/>
      <c r="O212" s="15" t="str">
        <f aca="false">IF(OR(M212="",N212=""),"",M212+N212)</f>
        <v/>
      </c>
      <c r="P212" s="16" t="str">
        <f aca="true">IF(O212="","",O212-TODAY())</f>
        <v/>
      </c>
      <c r="Q212" s="17" t="str">
        <f aca="false">IF(A212="","",TRIM(IF(E212="","No owner. ","")&amp;IF(F212="","No storage location. ","")&amp;IF(D212="","Serial missing. ","")&amp;IF(OR(H212="",H212="Undecided"),"No disposition. ","")&amp;IF(AND(H212="Ship",J212="",K212=""),"Shipping but no container/vehicle. ","")&amp;IF(AND(J212&lt;&gt;"",K212&lt;&gt;""),"In both a container and a vehicle. ","")&amp;IF(AND(H212="Ship",L212=""),"No destination. ","")&amp;IF(AND(J212&lt;&gt;"",L212&lt;&gt;"",IFERROR(VLOOKUP(J212,Containers!$A$5:$F$60,6,FALSE()),L212)&lt;&gt;L212),"Destination differs from container. ","")&amp;IF(AND(K212&lt;&gt;"",L212&lt;&gt;"",IFERROR(VLOOKUP(K212,Vehicles!$A$5:$F$60,6,FALSE()),L212)&lt;&gt;L212),"Destination differs from vehicle. ","")&amp;IF(AND(H212="Stay",OR(J212&lt;&gt;"",K212&lt;&gt;"",L212&lt;&gt;"")),"Marked Stay but has a container/vehicle/destination. ","")&amp;IF(G212="Missing","Reported missing. ","")&amp;IF(AND(P212&lt;&gt;"",N(P212)&lt;0),"Service overdue. ","")))</f>
        <v/>
      </c>
      <c r="S212" s="17" t="str">
        <f aca="false">IF(A212="","",IF(CHOOSE(MATCH(Find!$C$4,Lists!$K$2:$K$7,0),F212,E212,J212,K212,L212,G212)=Find!$C$5,MAX(S$4:S211)+1,""))</f>
        <v/>
      </c>
      <c r="T212" s="17" t="str">
        <f aca="false">IF(A212="","",IF(OR(J212=Manifest!$C$4,K212=Manifest!$C$4),MAX(T$4:T211)+1,""))</f>
        <v/>
      </c>
    </row>
    <row r="213" customFormat="false" ht="15" hidden="false" customHeight="false" outlineLevel="0" collapsed="false">
      <c r="C213" s="14"/>
      <c r="E213" s="14"/>
      <c r="F213" s="14"/>
      <c r="G213" s="14"/>
      <c r="H213" s="14"/>
      <c r="M213" s="12"/>
      <c r="O213" s="15" t="str">
        <f aca="false">IF(OR(M213="",N213=""),"",M213+N213)</f>
        <v/>
      </c>
      <c r="P213" s="16" t="str">
        <f aca="true">IF(O213="","",O213-TODAY())</f>
        <v/>
      </c>
      <c r="Q213" s="17" t="str">
        <f aca="false">IF(A213="","",TRIM(IF(E213="","No owner. ","")&amp;IF(F213="","No storage location. ","")&amp;IF(D213="","Serial missing. ","")&amp;IF(OR(H213="",H213="Undecided"),"No disposition. ","")&amp;IF(AND(H213="Ship",J213="",K213=""),"Shipping but no container/vehicle. ","")&amp;IF(AND(J213&lt;&gt;"",K213&lt;&gt;""),"In both a container and a vehicle. ","")&amp;IF(AND(H213="Ship",L213=""),"No destination. ","")&amp;IF(AND(J213&lt;&gt;"",L213&lt;&gt;"",IFERROR(VLOOKUP(J213,Containers!$A$5:$F$60,6,FALSE()),L213)&lt;&gt;L213),"Destination differs from container. ","")&amp;IF(AND(K213&lt;&gt;"",L213&lt;&gt;"",IFERROR(VLOOKUP(K213,Vehicles!$A$5:$F$60,6,FALSE()),L213)&lt;&gt;L213),"Destination differs from vehicle. ","")&amp;IF(AND(H213="Stay",OR(J213&lt;&gt;"",K213&lt;&gt;"",L213&lt;&gt;"")),"Marked Stay but has a container/vehicle/destination. ","")&amp;IF(G213="Missing","Reported missing. ","")&amp;IF(AND(P213&lt;&gt;"",N(P213)&lt;0),"Service overdue. ","")))</f>
        <v/>
      </c>
      <c r="S213" s="17" t="str">
        <f aca="false">IF(A213="","",IF(CHOOSE(MATCH(Find!$C$4,Lists!$K$2:$K$7,0),F213,E213,J213,K213,L213,G213)=Find!$C$5,MAX(S$4:S212)+1,""))</f>
        <v/>
      </c>
      <c r="T213" s="17" t="str">
        <f aca="false">IF(A213="","",IF(OR(J213=Manifest!$C$4,K213=Manifest!$C$4),MAX(T$4:T212)+1,""))</f>
        <v/>
      </c>
    </row>
    <row r="214" customFormat="false" ht="15" hidden="false" customHeight="false" outlineLevel="0" collapsed="false">
      <c r="C214" s="14"/>
      <c r="E214" s="14"/>
      <c r="F214" s="14"/>
      <c r="G214" s="14"/>
      <c r="H214" s="14"/>
      <c r="M214" s="12"/>
      <c r="O214" s="15" t="str">
        <f aca="false">IF(OR(M214="",N214=""),"",M214+N214)</f>
        <v/>
      </c>
      <c r="P214" s="16" t="str">
        <f aca="true">IF(O214="","",O214-TODAY())</f>
        <v/>
      </c>
      <c r="Q214" s="17" t="str">
        <f aca="false">IF(A214="","",TRIM(IF(E214="","No owner. ","")&amp;IF(F214="","No storage location. ","")&amp;IF(D214="","Serial missing. ","")&amp;IF(OR(H214="",H214="Undecided"),"No disposition. ","")&amp;IF(AND(H214="Ship",J214="",K214=""),"Shipping but no container/vehicle. ","")&amp;IF(AND(J214&lt;&gt;"",K214&lt;&gt;""),"In both a container and a vehicle. ","")&amp;IF(AND(H214="Ship",L214=""),"No destination. ","")&amp;IF(AND(J214&lt;&gt;"",L214&lt;&gt;"",IFERROR(VLOOKUP(J214,Containers!$A$5:$F$60,6,FALSE()),L214)&lt;&gt;L214),"Destination differs from container. ","")&amp;IF(AND(K214&lt;&gt;"",L214&lt;&gt;"",IFERROR(VLOOKUP(K214,Vehicles!$A$5:$F$60,6,FALSE()),L214)&lt;&gt;L214),"Destination differs from vehicle. ","")&amp;IF(AND(H214="Stay",OR(J214&lt;&gt;"",K214&lt;&gt;"",L214&lt;&gt;"")),"Marked Stay but has a container/vehicle/destination. ","")&amp;IF(G214="Missing","Reported missing. ","")&amp;IF(AND(P214&lt;&gt;"",N(P214)&lt;0),"Service overdue. ","")))</f>
        <v/>
      </c>
      <c r="S214" s="17" t="str">
        <f aca="false">IF(A214="","",IF(CHOOSE(MATCH(Find!$C$4,Lists!$K$2:$K$7,0),F214,E214,J214,K214,L214,G214)=Find!$C$5,MAX(S$4:S213)+1,""))</f>
        <v/>
      </c>
      <c r="T214" s="17" t="str">
        <f aca="false">IF(A214="","",IF(OR(J214=Manifest!$C$4,K214=Manifest!$C$4),MAX(T$4:T213)+1,""))</f>
        <v/>
      </c>
    </row>
    <row r="215" customFormat="false" ht="15" hidden="false" customHeight="false" outlineLevel="0" collapsed="false">
      <c r="C215" s="14"/>
      <c r="E215" s="14"/>
      <c r="F215" s="14"/>
      <c r="G215" s="14"/>
      <c r="H215" s="14"/>
      <c r="M215" s="12"/>
      <c r="O215" s="15" t="str">
        <f aca="false">IF(OR(M215="",N215=""),"",M215+N215)</f>
        <v/>
      </c>
      <c r="P215" s="16" t="str">
        <f aca="true">IF(O215="","",O215-TODAY())</f>
        <v/>
      </c>
      <c r="Q215" s="17" t="str">
        <f aca="false">IF(A215="","",TRIM(IF(E215="","No owner. ","")&amp;IF(F215="","No storage location. ","")&amp;IF(D215="","Serial missing. ","")&amp;IF(OR(H215="",H215="Undecided"),"No disposition. ","")&amp;IF(AND(H215="Ship",J215="",K215=""),"Shipping but no container/vehicle. ","")&amp;IF(AND(J215&lt;&gt;"",K215&lt;&gt;""),"In both a container and a vehicle. ","")&amp;IF(AND(H215="Ship",L215=""),"No destination. ","")&amp;IF(AND(J215&lt;&gt;"",L215&lt;&gt;"",IFERROR(VLOOKUP(J215,Containers!$A$5:$F$60,6,FALSE()),L215)&lt;&gt;L215),"Destination differs from container. ","")&amp;IF(AND(K215&lt;&gt;"",L215&lt;&gt;"",IFERROR(VLOOKUP(K215,Vehicles!$A$5:$F$60,6,FALSE()),L215)&lt;&gt;L215),"Destination differs from vehicle. ","")&amp;IF(AND(H215="Stay",OR(J215&lt;&gt;"",K215&lt;&gt;"",L215&lt;&gt;"")),"Marked Stay but has a container/vehicle/destination. ","")&amp;IF(G215="Missing","Reported missing. ","")&amp;IF(AND(P215&lt;&gt;"",N(P215)&lt;0),"Service overdue. ","")))</f>
        <v/>
      </c>
      <c r="S215" s="17" t="str">
        <f aca="false">IF(A215="","",IF(CHOOSE(MATCH(Find!$C$4,Lists!$K$2:$K$7,0),F215,E215,J215,K215,L215,G215)=Find!$C$5,MAX(S$4:S214)+1,""))</f>
        <v/>
      </c>
      <c r="T215" s="17" t="str">
        <f aca="false">IF(A215="","",IF(OR(J215=Manifest!$C$4,K215=Manifest!$C$4),MAX(T$4:T214)+1,""))</f>
        <v/>
      </c>
    </row>
    <row r="216" customFormat="false" ht="15" hidden="false" customHeight="false" outlineLevel="0" collapsed="false">
      <c r="C216" s="14"/>
      <c r="E216" s="14"/>
      <c r="F216" s="14"/>
      <c r="G216" s="14"/>
      <c r="H216" s="14"/>
      <c r="M216" s="12"/>
      <c r="O216" s="15" t="str">
        <f aca="false">IF(OR(M216="",N216=""),"",M216+N216)</f>
        <v/>
      </c>
      <c r="P216" s="16" t="str">
        <f aca="true">IF(O216="","",O216-TODAY())</f>
        <v/>
      </c>
      <c r="Q216" s="17" t="str">
        <f aca="false">IF(A216="","",TRIM(IF(E216="","No owner. ","")&amp;IF(F216="","No storage location. ","")&amp;IF(D216="","Serial missing. ","")&amp;IF(OR(H216="",H216="Undecided"),"No disposition. ","")&amp;IF(AND(H216="Ship",J216="",K216=""),"Shipping but no container/vehicle. ","")&amp;IF(AND(J216&lt;&gt;"",K216&lt;&gt;""),"In both a container and a vehicle. ","")&amp;IF(AND(H216="Ship",L216=""),"No destination. ","")&amp;IF(AND(J216&lt;&gt;"",L216&lt;&gt;"",IFERROR(VLOOKUP(J216,Containers!$A$5:$F$60,6,FALSE()),L216)&lt;&gt;L216),"Destination differs from container. ","")&amp;IF(AND(K216&lt;&gt;"",L216&lt;&gt;"",IFERROR(VLOOKUP(K216,Vehicles!$A$5:$F$60,6,FALSE()),L216)&lt;&gt;L216),"Destination differs from vehicle. ","")&amp;IF(AND(H216="Stay",OR(J216&lt;&gt;"",K216&lt;&gt;"",L216&lt;&gt;"")),"Marked Stay but has a container/vehicle/destination. ","")&amp;IF(G216="Missing","Reported missing. ","")&amp;IF(AND(P216&lt;&gt;"",N(P216)&lt;0),"Service overdue. ","")))</f>
        <v/>
      </c>
      <c r="S216" s="17" t="str">
        <f aca="false">IF(A216="","",IF(CHOOSE(MATCH(Find!$C$4,Lists!$K$2:$K$7,0),F216,E216,J216,K216,L216,G216)=Find!$C$5,MAX(S$4:S215)+1,""))</f>
        <v/>
      </c>
      <c r="T216" s="17" t="str">
        <f aca="false">IF(A216="","",IF(OR(J216=Manifest!$C$4,K216=Manifest!$C$4),MAX(T$4:T215)+1,""))</f>
        <v/>
      </c>
    </row>
    <row r="217" customFormat="false" ht="15" hidden="false" customHeight="false" outlineLevel="0" collapsed="false">
      <c r="C217" s="14"/>
      <c r="E217" s="14"/>
      <c r="F217" s="14"/>
      <c r="G217" s="14"/>
      <c r="H217" s="14"/>
      <c r="M217" s="12"/>
      <c r="O217" s="15" t="str">
        <f aca="false">IF(OR(M217="",N217=""),"",M217+N217)</f>
        <v/>
      </c>
      <c r="P217" s="16" t="str">
        <f aca="true">IF(O217="","",O217-TODAY())</f>
        <v/>
      </c>
      <c r="Q217" s="17" t="str">
        <f aca="false">IF(A217="","",TRIM(IF(E217="","No owner. ","")&amp;IF(F217="","No storage location. ","")&amp;IF(D217="","Serial missing. ","")&amp;IF(OR(H217="",H217="Undecided"),"No disposition. ","")&amp;IF(AND(H217="Ship",J217="",K217=""),"Shipping but no container/vehicle. ","")&amp;IF(AND(J217&lt;&gt;"",K217&lt;&gt;""),"In both a container and a vehicle. ","")&amp;IF(AND(H217="Ship",L217=""),"No destination. ","")&amp;IF(AND(J217&lt;&gt;"",L217&lt;&gt;"",IFERROR(VLOOKUP(J217,Containers!$A$5:$F$60,6,FALSE()),L217)&lt;&gt;L217),"Destination differs from container. ","")&amp;IF(AND(K217&lt;&gt;"",L217&lt;&gt;"",IFERROR(VLOOKUP(K217,Vehicles!$A$5:$F$60,6,FALSE()),L217)&lt;&gt;L217),"Destination differs from vehicle. ","")&amp;IF(AND(H217="Stay",OR(J217&lt;&gt;"",K217&lt;&gt;"",L217&lt;&gt;"")),"Marked Stay but has a container/vehicle/destination. ","")&amp;IF(G217="Missing","Reported missing. ","")&amp;IF(AND(P217&lt;&gt;"",N(P217)&lt;0),"Service overdue. ","")))</f>
        <v/>
      </c>
      <c r="S217" s="17" t="str">
        <f aca="false">IF(A217="","",IF(CHOOSE(MATCH(Find!$C$4,Lists!$K$2:$K$7,0),F217,E217,J217,K217,L217,G217)=Find!$C$5,MAX(S$4:S216)+1,""))</f>
        <v/>
      </c>
      <c r="T217" s="17" t="str">
        <f aca="false">IF(A217="","",IF(OR(J217=Manifest!$C$4,K217=Manifest!$C$4),MAX(T$4:T216)+1,""))</f>
        <v/>
      </c>
    </row>
    <row r="218" customFormat="false" ht="15" hidden="false" customHeight="false" outlineLevel="0" collapsed="false">
      <c r="C218" s="14"/>
      <c r="E218" s="14"/>
      <c r="F218" s="14"/>
      <c r="G218" s="14"/>
      <c r="H218" s="14"/>
      <c r="M218" s="12"/>
      <c r="O218" s="15" t="str">
        <f aca="false">IF(OR(M218="",N218=""),"",M218+N218)</f>
        <v/>
      </c>
      <c r="P218" s="16" t="str">
        <f aca="true">IF(O218="","",O218-TODAY())</f>
        <v/>
      </c>
      <c r="Q218" s="17" t="str">
        <f aca="false">IF(A218="","",TRIM(IF(E218="","No owner. ","")&amp;IF(F218="","No storage location. ","")&amp;IF(D218="","Serial missing. ","")&amp;IF(OR(H218="",H218="Undecided"),"No disposition. ","")&amp;IF(AND(H218="Ship",J218="",K218=""),"Shipping but no container/vehicle. ","")&amp;IF(AND(J218&lt;&gt;"",K218&lt;&gt;""),"In both a container and a vehicle. ","")&amp;IF(AND(H218="Ship",L218=""),"No destination. ","")&amp;IF(AND(J218&lt;&gt;"",L218&lt;&gt;"",IFERROR(VLOOKUP(J218,Containers!$A$5:$F$60,6,FALSE()),L218)&lt;&gt;L218),"Destination differs from container. ","")&amp;IF(AND(K218&lt;&gt;"",L218&lt;&gt;"",IFERROR(VLOOKUP(K218,Vehicles!$A$5:$F$60,6,FALSE()),L218)&lt;&gt;L218),"Destination differs from vehicle. ","")&amp;IF(AND(H218="Stay",OR(J218&lt;&gt;"",K218&lt;&gt;"",L218&lt;&gt;"")),"Marked Stay but has a container/vehicle/destination. ","")&amp;IF(G218="Missing","Reported missing. ","")&amp;IF(AND(P218&lt;&gt;"",N(P218)&lt;0),"Service overdue. ","")))</f>
        <v/>
      </c>
      <c r="S218" s="17" t="str">
        <f aca="false">IF(A218="","",IF(CHOOSE(MATCH(Find!$C$4,Lists!$K$2:$K$7,0),F218,E218,J218,K218,L218,G218)=Find!$C$5,MAX(S$4:S217)+1,""))</f>
        <v/>
      </c>
      <c r="T218" s="17" t="str">
        <f aca="false">IF(A218="","",IF(OR(J218=Manifest!$C$4,K218=Manifest!$C$4),MAX(T$4:T217)+1,""))</f>
        <v/>
      </c>
    </row>
    <row r="219" customFormat="false" ht="15" hidden="false" customHeight="false" outlineLevel="0" collapsed="false">
      <c r="C219" s="14"/>
      <c r="E219" s="14"/>
      <c r="F219" s="14"/>
      <c r="G219" s="14"/>
      <c r="H219" s="14"/>
      <c r="M219" s="12"/>
      <c r="O219" s="15" t="str">
        <f aca="false">IF(OR(M219="",N219=""),"",M219+N219)</f>
        <v/>
      </c>
      <c r="P219" s="16" t="str">
        <f aca="true">IF(O219="","",O219-TODAY())</f>
        <v/>
      </c>
      <c r="Q219" s="17" t="str">
        <f aca="false">IF(A219="","",TRIM(IF(E219="","No owner. ","")&amp;IF(F219="","No storage location. ","")&amp;IF(D219="","Serial missing. ","")&amp;IF(OR(H219="",H219="Undecided"),"No disposition. ","")&amp;IF(AND(H219="Ship",J219="",K219=""),"Shipping but no container/vehicle. ","")&amp;IF(AND(J219&lt;&gt;"",K219&lt;&gt;""),"In both a container and a vehicle. ","")&amp;IF(AND(H219="Ship",L219=""),"No destination. ","")&amp;IF(AND(J219&lt;&gt;"",L219&lt;&gt;"",IFERROR(VLOOKUP(J219,Containers!$A$5:$F$60,6,FALSE()),L219)&lt;&gt;L219),"Destination differs from container. ","")&amp;IF(AND(K219&lt;&gt;"",L219&lt;&gt;"",IFERROR(VLOOKUP(K219,Vehicles!$A$5:$F$60,6,FALSE()),L219)&lt;&gt;L219),"Destination differs from vehicle. ","")&amp;IF(AND(H219="Stay",OR(J219&lt;&gt;"",K219&lt;&gt;"",L219&lt;&gt;"")),"Marked Stay but has a container/vehicle/destination. ","")&amp;IF(G219="Missing","Reported missing. ","")&amp;IF(AND(P219&lt;&gt;"",N(P219)&lt;0),"Service overdue. ","")))</f>
        <v/>
      </c>
      <c r="S219" s="17" t="str">
        <f aca="false">IF(A219="","",IF(CHOOSE(MATCH(Find!$C$4,Lists!$K$2:$K$7,0),F219,E219,J219,K219,L219,G219)=Find!$C$5,MAX(S$4:S218)+1,""))</f>
        <v/>
      </c>
      <c r="T219" s="17" t="str">
        <f aca="false">IF(A219="","",IF(OR(J219=Manifest!$C$4,K219=Manifest!$C$4),MAX(T$4:T218)+1,""))</f>
        <v/>
      </c>
    </row>
    <row r="220" customFormat="false" ht="15" hidden="false" customHeight="false" outlineLevel="0" collapsed="false">
      <c r="C220" s="14"/>
      <c r="E220" s="14"/>
      <c r="F220" s="14"/>
      <c r="G220" s="14"/>
      <c r="H220" s="14"/>
      <c r="M220" s="12"/>
      <c r="O220" s="15" t="str">
        <f aca="false">IF(OR(M220="",N220=""),"",M220+N220)</f>
        <v/>
      </c>
      <c r="P220" s="16" t="str">
        <f aca="true">IF(O220="","",O220-TODAY())</f>
        <v/>
      </c>
      <c r="Q220" s="17" t="str">
        <f aca="false">IF(A220="","",TRIM(IF(E220="","No owner. ","")&amp;IF(F220="","No storage location. ","")&amp;IF(D220="","Serial missing. ","")&amp;IF(OR(H220="",H220="Undecided"),"No disposition. ","")&amp;IF(AND(H220="Ship",J220="",K220=""),"Shipping but no container/vehicle. ","")&amp;IF(AND(J220&lt;&gt;"",K220&lt;&gt;""),"In both a container and a vehicle. ","")&amp;IF(AND(H220="Ship",L220=""),"No destination. ","")&amp;IF(AND(J220&lt;&gt;"",L220&lt;&gt;"",IFERROR(VLOOKUP(J220,Containers!$A$5:$F$60,6,FALSE()),L220)&lt;&gt;L220),"Destination differs from container. ","")&amp;IF(AND(K220&lt;&gt;"",L220&lt;&gt;"",IFERROR(VLOOKUP(K220,Vehicles!$A$5:$F$60,6,FALSE()),L220)&lt;&gt;L220),"Destination differs from vehicle. ","")&amp;IF(AND(H220="Stay",OR(J220&lt;&gt;"",K220&lt;&gt;"",L220&lt;&gt;"")),"Marked Stay but has a container/vehicle/destination. ","")&amp;IF(G220="Missing","Reported missing. ","")&amp;IF(AND(P220&lt;&gt;"",N(P220)&lt;0),"Service overdue. ","")))</f>
        <v/>
      </c>
      <c r="S220" s="17" t="str">
        <f aca="false">IF(A220="","",IF(CHOOSE(MATCH(Find!$C$4,Lists!$K$2:$K$7,0),F220,E220,J220,K220,L220,G220)=Find!$C$5,MAX(S$4:S219)+1,""))</f>
        <v/>
      </c>
      <c r="T220" s="17" t="str">
        <f aca="false">IF(A220="","",IF(OR(J220=Manifest!$C$4,K220=Manifest!$C$4),MAX(T$4:T219)+1,""))</f>
        <v/>
      </c>
    </row>
    <row r="221" customFormat="false" ht="15" hidden="false" customHeight="false" outlineLevel="0" collapsed="false">
      <c r="C221" s="14"/>
      <c r="E221" s="14"/>
      <c r="F221" s="14"/>
      <c r="G221" s="14"/>
      <c r="H221" s="14"/>
      <c r="M221" s="12"/>
      <c r="O221" s="15" t="str">
        <f aca="false">IF(OR(M221="",N221=""),"",M221+N221)</f>
        <v/>
      </c>
      <c r="P221" s="16" t="str">
        <f aca="true">IF(O221="","",O221-TODAY())</f>
        <v/>
      </c>
      <c r="Q221" s="17" t="str">
        <f aca="false">IF(A221="","",TRIM(IF(E221="","No owner. ","")&amp;IF(F221="","No storage location. ","")&amp;IF(D221="","Serial missing. ","")&amp;IF(OR(H221="",H221="Undecided"),"No disposition. ","")&amp;IF(AND(H221="Ship",J221="",K221=""),"Shipping but no container/vehicle. ","")&amp;IF(AND(J221&lt;&gt;"",K221&lt;&gt;""),"In both a container and a vehicle. ","")&amp;IF(AND(H221="Ship",L221=""),"No destination. ","")&amp;IF(AND(J221&lt;&gt;"",L221&lt;&gt;"",IFERROR(VLOOKUP(J221,Containers!$A$5:$F$60,6,FALSE()),L221)&lt;&gt;L221),"Destination differs from container. ","")&amp;IF(AND(K221&lt;&gt;"",L221&lt;&gt;"",IFERROR(VLOOKUP(K221,Vehicles!$A$5:$F$60,6,FALSE()),L221)&lt;&gt;L221),"Destination differs from vehicle. ","")&amp;IF(AND(H221="Stay",OR(J221&lt;&gt;"",K221&lt;&gt;"",L221&lt;&gt;"")),"Marked Stay but has a container/vehicle/destination. ","")&amp;IF(G221="Missing","Reported missing. ","")&amp;IF(AND(P221&lt;&gt;"",N(P221)&lt;0),"Service overdue. ","")))</f>
        <v/>
      </c>
      <c r="S221" s="17" t="str">
        <f aca="false">IF(A221="","",IF(CHOOSE(MATCH(Find!$C$4,Lists!$K$2:$K$7,0),F221,E221,J221,K221,L221,G221)=Find!$C$5,MAX(S$4:S220)+1,""))</f>
        <v/>
      </c>
      <c r="T221" s="17" t="str">
        <f aca="false">IF(A221="","",IF(OR(J221=Manifest!$C$4,K221=Manifest!$C$4),MAX(T$4:T220)+1,""))</f>
        <v/>
      </c>
    </row>
    <row r="222" customFormat="false" ht="15" hidden="false" customHeight="false" outlineLevel="0" collapsed="false">
      <c r="C222" s="14"/>
      <c r="E222" s="14"/>
      <c r="F222" s="14"/>
      <c r="G222" s="14"/>
      <c r="H222" s="14"/>
      <c r="M222" s="12"/>
      <c r="O222" s="15" t="str">
        <f aca="false">IF(OR(M222="",N222=""),"",M222+N222)</f>
        <v/>
      </c>
      <c r="P222" s="16" t="str">
        <f aca="true">IF(O222="","",O222-TODAY())</f>
        <v/>
      </c>
      <c r="Q222" s="17" t="str">
        <f aca="false">IF(A222="","",TRIM(IF(E222="","No owner. ","")&amp;IF(F222="","No storage location. ","")&amp;IF(D222="","Serial missing. ","")&amp;IF(OR(H222="",H222="Undecided"),"No disposition. ","")&amp;IF(AND(H222="Ship",J222="",K222=""),"Shipping but no container/vehicle. ","")&amp;IF(AND(J222&lt;&gt;"",K222&lt;&gt;""),"In both a container and a vehicle. ","")&amp;IF(AND(H222="Ship",L222=""),"No destination. ","")&amp;IF(AND(J222&lt;&gt;"",L222&lt;&gt;"",IFERROR(VLOOKUP(J222,Containers!$A$5:$F$60,6,FALSE()),L222)&lt;&gt;L222),"Destination differs from container. ","")&amp;IF(AND(K222&lt;&gt;"",L222&lt;&gt;"",IFERROR(VLOOKUP(K222,Vehicles!$A$5:$F$60,6,FALSE()),L222)&lt;&gt;L222),"Destination differs from vehicle. ","")&amp;IF(AND(H222="Stay",OR(J222&lt;&gt;"",K222&lt;&gt;"",L222&lt;&gt;"")),"Marked Stay but has a container/vehicle/destination. ","")&amp;IF(G222="Missing","Reported missing. ","")&amp;IF(AND(P222&lt;&gt;"",N(P222)&lt;0),"Service overdue. ","")))</f>
        <v/>
      </c>
      <c r="S222" s="17" t="str">
        <f aca="false">IF(A222="","",IF(CHOOSE(MATCH(Find!$C$4,Lists!$K$2:$K$7,0),F222,E222,J222,K222,L222,G222)=Find!$C$5,MAX(S$4:S221)+1,""))</f>
        <v/>
      </c>
      <c r="T222" s="17" t="str">
        <f aca="false">IF(A222="","",IF(OR(J222=Manifest!$C$4,K222=Manifest!$C$4),MAX(T$4:T221)+1,""))</f>
        <v/>
      </c>
    </row>
    <row r="223" customFormat="false" ht="15" hidden="false" customHeight="false" outlineLevel="0" collapsed="false">
      <c r="C223" s="14"/>
      <c r="E223" s="14"/>
      <c r="F223" s="14"/>
      <c r="G223" s="14"/>
      <c r="H223" s="14"/>
      <c r="M223" s="12"/>
      <c r="O223" s="15" t="str">
        <f aca="false">IF(OR(M223="",N223=""),"",M223+N223)</f>
        <v/>
      </c>
      <c r="P223" s="16" t="str">
        <f aca="true">IF(O223="","",O223-TODAY())</f>
        <v/>
      </c>
      <c r="Q223" s="17" t="str">
        <f aca="false">IF(A223="","",TRIM(IF(E223="","No owner. ","")&amp;IF(F223="","No storage location. ","")&amp;IF(D223="","Serial missing. ","")&amp;IF(OR(H223="",H223="Undecided"),"No disposition. ","")&amp;IF(AND(H223="Ship",J223="",K223=""),"Shipping but no container/vehicle. ","")&amp;IF(AND(J223&lt;&gt;"",K223&lt;&gt;""),"In both a container and a vehicle. ","")&amp;IF(AND(H223="Ship",L223=""),"No destination. ","")&amp;IF(AND(J223&lt;&gt;"",L223&lt;&gt;"",IFERROR(VLOOKUP(J223,Containers!$A$5:$F$60,6,FALSE()),L223)&lt;&gt;L223),"Destination differs from container. ","")&amp;IF(AND(K223&lt;&gt;"",L223&lt;&gt;"",IFERROR(VLOOKUP(K223,Vehicles!$A$5:$F$60,6,FALSE()),L223)&lt;&gt;L223),"Destination differs from vehicle. ","")&amp;IF(AND(H223="Stay",OR(J223&lt;&gt;"",K223&lt;&gt;"",L223&lt;&gt;"")),"Marked Stay but has a container/vehicle/destination. ","")&amp;IF(G223="Missing","Reported missing. ","")&amp;IF(AND(P223&lt;&gt;"",N(P223)&lt;0),"Service overdue. ","")))</f>
        <v/>
      </c>
      <c r="S223" s="17" t="str">
        <f aca="false">IF(A223="","",IF(CHOOSE(MATCH(Find!$C$4,Lists!$K$2:$K$7,0),F223,E223,J223,K223,L223,G223)=Find!$C$5,MAX(S$4:S222)+1,""))</f>
        <v/>
      </c>
      <c r="T223" s="17" t="str">
        <f aca="false">IF(A223="","",IF(OR(J223=Manifest!$C$4,K223=Manifest!$C$4),MAX(T$4:T222)+1,""))</f>
        <v/>
      </c>
    </row>
    <row r="224" customFormat="false" ht="15" hidden="false" customHeight="false" outlineLevel="0" collapsed="false">
      <c r="C224" s="14"/>
      <c r="E224" s="14"/>
      <c r="F224" s="14"/>
      <c r="G224" s="14"/>
      <c r="H224" s="14"/>
      <c r="M224" s="12"/>
      <c r="O224" s="15" t="str">
        <f aca="false">IF(OR(M224="",N224=""),"",M224+N224)</f>
        <v/>
      </c>
      <c r="P224" s="16" t="str">
        <f aca="true">IF(O224="","",O224-TODAY())</f>
        <v/>
      </c>
      <c r="Q224" s="17" t="str">
        <f aca="false">IF(A224="","",TRIM(IF(E224="","No owner. ","")&amp;IF(F224="","No storage location. ","")&amp;IF(D224="","Serial missing. ","")&amp;IF(OR(H224="",H224="Undecided"),"No disposition. ","")&amp;IF(AND(H224="Ship",J224="",K224=""),"Shipping but no container/vehicle. ","")&amp;IF(AND(J224&lt;&gt;"",K224&lt;&gt;""),"In both a container and a vehicle. ","")&amp;IF(AND(H224="Ship",L224=""),"No destination. ","")&amp;IF(AND(J224&lt;&gt;"",L224&lt;&gt;"",IFERROR(VLOOKUP(J224,Containers!$A$5:$F$60,6,FALSE()),L224)&lt;&gt;L224),"Destination differs from container. ","")&amp;IF(AND(K224&lt;&gt;"",L224&lt;&gt;"",IFERROR(VLOOKUP(K224,Vehicles!$A$5:$F$60,6,FALSE()),L224)&lt;&gt;L224),"Destination differs from vehicle. ","")&amp;IF(AND(H224="Stay",OR(J224&lt;&gt;"",K224&lt;&gt;"",L224&lt;&gt;"")),"Marked Stay but has a container/vehicle/destination. ","")&amp;IF(G224="Missing","Reported missing. ","")&amp;IF(AND(P224&lt;&gt;"",N(P224)&lt;0),"Service overdue. ","")))</f>
        <v/>
      </c>
      <c r="S224" s="17" t="str">
        <f aca="false">IF(A224="","",IF(CHOOSE(MATCH(Find!$C$4,Lists!$K$2:$K$7,0),F224,E224,J224,K224,L224,G224)=Find!$C$5,MAX(S$4:S223)+1,""))</f>
        <v/>
      </c>
      <c r="T224" s="17" t="str">
        <f aca="false">IF(A224="","",IF(OR(J224=Manifest!$C$4,K224=Manifest!$C$4),MAX(T$4:T223)+1,""))</f>
        <v/>
      </c>
    </row>
    <row r="225" customFormat="false" ht="15" hidden="false" customHeight="false" outlineLevel="0" collapsed="false">
      <c r="C225" s="14"/>
      <c r="E225" s="14"/>
      <c r="F225" s="14"/>
      <c r="G225" s="14"/>
      <c r="H225" s="14"/>
      <c r="M225" s="12"/>
      <c r="O225" s="15" t="str">
        <f aca="false">IF(OR(M225="",N225=""),"",M225+N225)</f>
        <v/>
      </c>
      <c r="P225" s="16" t="str">
        <f aca="true">IF(O225="","",O225-TODAY())</f>
        <v/>
      </c>
      <c r="Q225" s="17" t="str">
        <f aca="false">IF(A225="","",TRIM(IF(E225="","No owner. ","")&amp;IF(F225="","No storage location. ","")&amp;IF(D225="","Serial missing. ","")&amp;IF(OR(H225="",H225="Undecided"),"No disposition. ","")&amp;IF(AND(H225="Ship",J225="",K225=""),"Shipping but no container/vehicle. ","")&amp;IF(AND(J225&lt;&gt;"",K225&lt;&gt;""),"In both a container and a vehicle. ","")&amp;IF(AND(H225="Ship",L225=""),"No destination. ","")&amp;IF(AND(J225&lt;&gt;"",L225&lt;&gt;"",IFERROR(VLOOKUP(J225,Containers!$A$5:$F$60,6,FALSE()),L225)&lt;&gt;L225),"Destination differs from container. ","")&amp;IF(AND(K225&lt;&gt;"",L225&lt;&gt;"",IFERROR(VLOOKUP(K225,Vehicles!$A$5:$F$60,6,FALSE()),L225)&lt;&gt;L225),"Destination differs from vehicle. ","")&amp;IF(AND(H225="Stay",OR(J225&lt;&gt;"",K225&lt;&gt;"",L225&lt;&gt;"")),"Marked Stay but has a container/vehicle/destination. ","")&amp;IF(G225="Missing","Reported missing. ","")&amp;IF(AND(P225&lt;&gt;"",N(P225)&lt;0),"Service overdue. ","")))</f>
        <v/>
      </c>
      <c r="S225" s="17" t="str">
        <f aca="false">IF(A225="","",IF(CHOOSE(MATCH(Find!$C$4,Lists!$K$2:$K$7,0),F225,E225,J225,K225,L225,G225)=Find!$C$5,MAX(S$4:S224)+1,""))</f>
        <v/>
      </c>
      <c r="T225" s="17" t="str">
        <f aca="false">IF(A225="","",IF(OR(J225=Manifest!$C$4,K225=Manifest!$C$4),MAX(T$4:T224)+1,""))</f>
        <v/>
      </c>
    </row>
    <row r="226" customFormat="false" ht="15" hidden="false" customHeight="false" outlineLevel="0" collapsed="false">
      <c r="C226" s="14"/>
      <c r="E226" s="14"/>
      <c r="F226" s="14"/>
      <c r="G226" s="14"/>
      <c r="H226" s="14"/>
      <c r="M226" s="12"/>
      <c r="O226" s="15" t="str">
        <f aca="false">IF(OR(M226="",N226=""),"",M226+N226)</f>
        <v/>
      </c>
      <c r="P226" s="16" t="str">
        <f aca="true">IF(O226="","",O226-TODAY())</f>
        <v/>
      </c>
      <c r="Q226" s="17" t="str">
        <f aca="false">IF(A226="","",TRIM(IF(E226="","No owner. ","")&amp;IF(F226="","No storage location. ","")&amp;IF(D226="","Serial missing. ","")&amp;IF(OR(H226="",H226="Undecided"),"No disposition. ","")&amp;IF(AND(H226="Ship",J226="",K226=""),"Shipping but no container/vehicle. ","")&amp;IF(AND(J226&lt;&gt;"",K226&lt;&gt;""),"In both a container and a vehicle. ","")&amp;IF(AND(H226="Ship",L226=""),"No destination. ","")&amp;IF(AND(J226&lt;&gt;"",L226&lt;&gt;"",IFERROR(VLOOKUP(J226,Containers!$A$5:$F$60,6,FALSE()),L226)&lt;&gt;L226),"Destination differs from container. ","")&amp;IF(AND(K226&lt;&gt;"",L226&lt;&gt;"",IFERROR(VLOOKUP(K226,Vehicles!$A$5:$F$60,6,FALSE()),L226)&lt;&gt;L226),"Destination differs from vehicle. ","")&amp;IF(AND(H226="Stay",OR(J226&lt;&gt;"",K226&lt;&gt;"",L226&lt;&gt;"")),"Marked Stay but has a container/vehicle/destination. ","")&amp;IF(G226="Missing","Reported missing. ","")&amp;IF(AND(P226&lt;&gt;"",N(P226)&lt;0),"Service overdue. ","")))</f>
        <v/>
      </c>
      <c r="S226" s="17" t="str">
        <f aca="false">IF(A226="","",IF(CHOOSE(MATCH(Find!$C$4,Lists!$K$2:$K$7,0),F226,E226,J226,K226,L226,G226)=Find!$C$5,MAX(S$4:S225)+1,""))</f>
        <v/>
      </c>
      <c r="T226" s="17" t="str">
        <f aca="false">IF(A226="","",IF(OR(J226=Manifest!$C$4,K226=Manifest!$C$4),MAX(T$4:T225)+1,""))</f>
        <v/>
      </c>
    </row>
    <row r="227" customFormat="false" ht="15" hidden="false" customHeight="false" outlineLevel="0" collapsed="false">
      <c r="C227" s="14"/>
      <c r="E227" s="14"/>
      <c r="F227" s="14"/>
      <c r="G227" s="14"/>
      <c r="H227" s="14"/>
      <c r="M227" s="12"/>
      <c r="O227" s="15" t="str">
        <f aca="false">IF(OR(M227="",N227=""),"",M227+N227)</f>
        <v/>
      </c>
      <c r="P227" s="16" t="str">
        <f aca="true">IF(O227="","",O227-TODAY())</f>
        <v/>
      </c>
      <c r="Q227" s="17" t="str">
        <f aca="false">IF(A227="","",TRIM(IF(E227="","No owner. ","")&amp;IF(F227="","No storage location. ","")&amp;IF(D227="","Serial missing. ","")&amp;IF(OR(H227="",H227="Undecided"),"No disposition. ","")&amp;IF(AND(H227="Ship",J227="",K227=""),"Shipping but no container/vehicle. ","")&amp;IF(AND(J227&lt;&gt;"",K227&lt;&gt;""),"In both a container and a vehicle. ","")&amp;IF(AND(H227="Ship",L227=""),"No destination. ","")&amp;IF(AND(J227&lt;&gt;"",L227&lt;&gt;"",IFERROR(VLOOKUP(J227,Containers!$A$5:$F$60,6,FALSE()),L227)&lt;&gt;L227),"Destination differs from container. ","")&amp;IF(AND(K227&lt;&gt;"",L227&lt;&gt;"",IFERROR(VLOOKUP(K227,Vehicles!$A$5:$F$60,6,FALSE()),L227)&lt;&gt;L227),"Destination differs from vehicle. ","")&amp;IF(AND(H227="Stay",OR(J227&lt;&gt;"",K227&lt;&gt;"",L227&lt;&gt;"")),"Marked Stay but has a container/vehicle/destination. ","")&amp;IF(G227="Missing","Reported missing. ","")&amp;IF(AND(P227&lt;&gt;"",N(P227)&lt;0),"Service overdue. ","")))</f>
        <v/>
      </c>
      <c r="S227" s="17" t="str">
        <f aca="false">IF(A227="","",IF(CHOOSE(MATCH(Find!$C$4,Lists!$K$2:$K$7,0),F227,E227,J227,K227,L227,G227)=Find!$C$5,MAX(S$4:S226)+1,""))</f>
        <v/>
      </c>
      <c r="T227" s="17" t="str">
        <f aca="false">IF(A227="","",IF(OR(J227=Manifest!$C$4,K227=Manifest!$C$4),MAX(T$4:T226)+1,""))</f>
        <v/>
      </c>
    </row>
    <row r="228" customFormat="false" ht="15" hidden="false" customHeight="false" outlineLevel="0" collapsed="false">
      <c r="C228" s="14"/>
      <c r="E228" s="14"/>
      <c r="F228" s="14"/>
      <c r="G228" s="14"/>
      <c r="H228" s="14"/>
      <c r="M228" s="12"/>
      <c r="O228" s="15" t="str">
        <f aca="false">IF(OR(M228="",N228=""),"",M228+N228)</f>
        <v/>
      </c>
      <c r="P228" s="16" t="str">
        <f aca="true">IF(O228="","",O228-TODAY())</f>
        <v/>
      </c>
      <c r="Q228" s="17" t="str">
        <f aca="false">IF(A228="","",TRIM(IF(E228="","No owner. ","")&amp;IF(F228="","No storage location. ","")&amp;IF(D228="","Serial missing. ","")&amp;IF(OR(H228="",H228="Undecided"),"No disposition. ","")&amp;IF(AND(H228="Ship",J228="",K228=""),"Shipping but no container/vehicle. ","")&amp;IF(AND(J228&lt;&gt;"",K228&lt;&gt;""),"In both a container and a vehicle. ","")&amp;IF(AND(H228="Ship",L228=""),"No destination. ","")&amp;IF(AND(J228&lt;&gt;"",L228&lt;&gt;"",IFERROR(VLOOKUP(J228,Containers!$A$5:$F$60,6,FALSE()),L228)&lt;&gt;L228),"Destination differs from container. ","")&amp;IF(AND(K228&lt;&gt;"",L228&lt;&gt;"",IFERROR(VLOOKUP(K228,Vehicles!$A$5:$F$60,6,FALSE()),L228)&lt;&gt;L228),"Destination differs from vehicle. ","")&amp;IF(AND(H228="Stay",OR(J228&lt;&gt;"",K228&lt;&gt;"",L228&lt;&gt;"")),"Marked Stay but has a container/vehicle/destination. ","")&amp;IF(G228="Missing","Reported missing. ","")&amp;IF(AND(P228&lt;&gt;"",N(P228)&lt;0),"Service overdue. ","")))</f>
        <v/>
      </c>
      <c r="S228" s="17" t="str">
        <f aca="false">IF(A228="","",IF(CHOOSE(MATCH(Find!$C$4,Lists!$K$2:$K$7,0),F228,E228,J228,K228,L228,G228)=Find!$C$5,MAX(S$4:S227)+1,""))</f>
        <v/>
      </c>
      <c r="T228" s="17" t="str">
        <f aca="false">IF(A228="","",IF(OR(J228=Manifest!$C$4,K228=Manifest!$C$4),MAX(T$4:T227)+1,""))</f>
        <v/>
      </c>
    </row>
    <row r="229" customFormat="false" ht="15" hidden="false" customHeight="false" outlineLevel="0" collapsed="false">
      <c r="C229" s="14"/>
      <c r="E229" s="14"/>
      <c r="F229" s="14"/>
      <c r="G229" s="14"/>
      <c r="H229" s="14"/>
      <c r="M229" s="12"/>
      <c r="O229" s="15" t="str">
        <f aca="false">IF(OR(M229="",N229=""),"",M229+N229)</f>
        <v/>
      </c>
      <c r="P229" s="16" t="str">
        <f aca="true">IF(O229="","",O229-TODAY())</f>
        <v/>
      </c>
      <c r="Q229" s="17" t="str">
        <f aca="false">IF(A229="","",TRIM(IF(E229="","No owner. ","")&amp;IF(F229="","No storage location. ","")&amp;IF(D229="","Serial missing. ","")&amp;IF(OR(H229="",H229="Undecided"),"No disposition. ","")&amp;IF(AND(H229="Ship",J229="",K229=""),"Shipping but no container/vehicle. ","")&amp;IF(AND(J229&lt;&gt;"",K229&lt;&gt;""),"In both a container and a vehicle. ","")&amp;IF(AND(H229="Ship",L229=""),"No destination. ","")&amp;IF(AND(J229&lt;&gt;"",L229&lt;&gt;"",IFERROR(VLOOKUP(J229,Containers!$A$5:$F$60,6,FALSE()),L229)&lt;&gt;L229),"Destination differs from container. ","")&amp;IF(AND(K229&lt;&gt;"",L229&lt;&gt;"",IFERROR(VLOOKUP(K229,Vehicles!$A$5:$F$60,6,FALSE()),L229)&lt;&gt;L229),"Destination differs from vehicle. ","")&amp;IF(AND(H229="Stay",OR(J229&lt;&gt;"",K229&lt;&gt;"",L229&lt;&gt;"")),"Marked Stay but has a container/vehicle/destination. ","")&amp;IF(G229="Missing","Reported missing. ","")&amp;IF(AND(P229&lt;&gt;"",N(P229)&lt;0),"Service overdue. ","")))</f>
        <v/>
      </c>
      <c r="S229" s="17" t="str">
        <f aca="false">IF(A229="","",IF(CHOOSE(MATCH(Find!$C$4,Lists!$K$2:$K$7,0),F229,E229,J229,K229,L229,G229)=Find!$C$5,MAX(S$4:S228)+1,""))</f>
        <v/>
      </c>
      <c r="T229" s="17" t="str">
        <f aca="false">IF(A229="","",IF(OR(J229=Manifest!$C$4,K229=Manifest!$C$4),MAX(T$4:T228)+1,""))</f>
        <v/>
      </c>
    </row>
    <row r="230" customFormat="false" ht="15" hidden="false" customHeight="false" outlineLevel="0" collapsed="false">
      <c r="C230" s="14"/>
      <c r="E230" s="14"/>
      <c r="F230" s="14"/>
      <c r="G230" s="14"/>
      <c r="H230" s="14"/>
      <c r="M230" s="12"/>
      <c r="O230" s="15" t="str">
        <f aca="false">IF(OR(M230="",N230=""),"",M230+N230)</f>
        <v/>
      </c>
      <c r="P230" s="16" t="str">
        <f aca="true">IF(O230="","",O230-TODAY())</f>
        <v/>
      </c>
      <c r="Q230" s="17" t="str">
        <f aca="false">IF(A230="","",TRIM(IF(E230="","No owner. ","")&amp;IF(F230="","No storage location. ","")&amp;IF(D230="","Serial missing. ","")&amp;IF(OR(H230="",H230="Undecided"),"No disposition. ","")&amp;IF(AND(H230="Ship",J230="",K230=""),"Shipping but no container/vehicle. ","")&amp;IF(AND(J230&lt;&gt;"",K230&lt;&gt;""),"In both a container and a vehicle. ","")&amp;IF(AND(H230="Ship",L230=""),"No destination. ","")&amp;IF(AND(J230&lt;&gt;"",L230&lt;&gt;"",IFERROR(VLOOKUP(J230,Containers!$A$5:$F$60,6,FALSE()),L230)&lt;&gt;L230),"Destination differs from container. ","")&amp;IF(AND(K230&lt;&gt;"",L230&lt;&gt;"",IFERROR(VLOOKUP(K230,Vehicles!$A$5:$F$60,6,FALSE()),L230)&lt;&gt;L230),"Destination differs from vehicle. ","")&amp;IF(AND(H230="Stay",OR(J230&lt;&gt;"",K230&lt;&gt;"",L230&lt;&gt;"")),"Marked Stay but has a container/vehicle/destination. ","")&amp;IF(G230="Missing","Reported missing. ","")&amp;IF(AND(P230&lt;&gt;"",N(P230)&lt;0),"Service overdue. ","")))</f>
        <v/>
      </c>
      <c r="S230" s="17" t="str">
        <f aca="false">IF(A230="","",IF(CHOOSE(MATCH(Find!$C$4,Lists!$K$2:$K$7,0),F230,E230,J230,K230,L230,G230)=Find!$C$5,MAX(S$4:S229)+1,""))</f>
        <v/>
      </c>
      <c r="T230" s="17" t="str">
        <f aca="false">IF(A230="","",IF(OR(J230=Manifest!$C$4,K230=Manifest!$C$4),MAX(T$4:T229)+1,""))</f>
        <v/>
      </c>
    </row>
    <row r="231" customFormat="false" ht="15" hidden="false" customHeight="false" outlineLevel="0" collapsed="false">
      <c r="C231" s="14"/>
      <c r="E231" s="14"/>
      <c r="F231" s="14"/>
      <c r="G231" s="14"/>
      <c r="H231" s="14"/>
      <c r="M231" s="12"/>
      <c r="O231" s="15" t="str">
        <f aca="false">IF(OR(M231="",N231=""),"",M231+N231)</f>
        <v/>
      </c>
      <c r="P231" s="16" t="str">
        <f aca="true">IF(O231="","",O231-TODAY())</f>
        <v/>
      </c>
      <c r="Q231" s="17" t="str">
        <f aca="false">IF(A231="","",TRIM(IF(E231="","No owner. ","")&amp;IF(F231="","No storage location. ","")&amp;IF(D231="","Serial missing. ","")&amp;IF(OR(H231="",H231="Undecided"),"No disposition. ","")&amp;IF(AND(H231="Ship",J231="",K231=""),"Shipping but no container/vehicle. ","")&amp;IF(AND(J231&lt;&gt;"",K231&lt;&gt;""),"In both a container and a vehicle. ","")&amp;IF(AND(H231="Ship",L231=""),"No destination. ","")&amp;IF(AND(J231&lt;&gt;"",L231&lt;&gt;"",IFERROR(VLOOKUP(J231,Containers!$A$5:$F$60,6,FALSE()),L231)&lt;&gt;L231),"Destination differs from container. ","")&amp;IF(AND(K231&lt;&gt;"",L231&lt;&gt;"",IFERROR(VLOOKUP(K231,Vehicles!$A$5:$F$60,6,FALSE()),L231)&lt;&gt;L231),"Destination differs from vehicle. ","")&amp;IF(AND(H231="Stay",OR(J231&lt;&gt;"",K231&lt;&gt;"",L231&lt;&gt;"")),"Marked Stay but has a container/vehicle/destination. ","")&amp;IF(G231="Missing","Reported missing. ","")&amp;IF(AND(P231&lt;&gt;"",N(P231)&lt;0),"Service overdue. ","")))</f>
        <v/>
      </c>
      <c r="S231" s="17" t="str">
        <f aca="false">IF(A231="","",IF(CHOOSE(MATCH(Find!$C$4,Lists!$K$2:$K$7,0),F231,E231,J231,K231,L231,G231)=Find!$C$5,MAX(S$4:S230)+1,""))</f>
        <v/>
      </c>
      <c r="T231" s="17" t="str">
        <f aca="false">IF(A231="","",IF(OR(J231=Manifest!$C$4,K231=Manifest!$C$4),MAX(T$4:T230)+1,""))</f>
        <v/>
      </c>
    </row>
    <row r="232" customFormat="false" ht="15" hidden="false" customHeight="false" outlineLevel="0" collapsed="false">
      <c r="C232" s="14"/>
      <c r="E232" s="14"/>
      <c r="F232" s="14"/>
      <c r="G232" s="14"/>
      <c r="H232" s="14"/>
      <c r="M232" s="12"/>
      <c r="O232" s="15" t="str">
        <f aca="false">IF(OR(M232="",N232=""),"",M232+N232)</f>
        <v/>
      </c>
      <c r="P232" s="16" t="str">
        <f aca="true">IF(O232="","",O232-TODAY())</f>
        <v/>
      </c>
      <c r="Q232" s="17" t="str">
        <f aca="false">IF(A232="","",TRIM(IF(E232="","No owner. ","")&amp;IF(F232="","No storage location. ","")&amp;IF(D232="","Serial missing. ","")&amp;IF(OR(H232="",H232="Undecided"),"No disposition. ","")&amp;IF(AND(H232="Ship",J232="",K232=""),"Shipping but no container/vehicle. ","")&amp;IF(AND(J232&lt;&gt;"",K232&lt;&gt;""),"In both a container and a vehicle. ","")&amp;IF(AND(H232="Ship",L232=""),"No destination. ","")&amp;IF(AND(J232&lt;&gt;"",L232&lt;&gt;"",IFERROR(VLOOKUP(J232,Containers!$A$5:$F$60,6,FALSE()),L232)&lt;&gt;L232),"Destination differs from container. ","")&amp;IF(AND(K232&lt;&gt;"",L232&lt;&gt;"",IFERROR(VLOOKUP(K232,Vehicles!$A$5:$F$60,6,FALSE()),L232)&lt;&gt;L232),"Destination differs from vehicle. ","")&amp;IF(AND(H232="Stay",OR(J232&lt;&gt;"",K232&lt;&gt;"",L232&lt;&gt;"")),"Marked Stay but has a container/vehicle/destination. ","")&amp;IF(G232="Missing","Reported missing. ","")&amp;IF(AND(P232&lt;&gt;"",N(P232)&lt;0),"Service overdue. ","")))</f>
        <v/>
      </c>
      <c r="S232" s="17" t="str">
        <f aca="false">IF(A232="","",IF(CHOOSE(MATCH(Find!$C$4,Lists!$K$2:$K$7,0),F232,E232,J232,K232,L232,G232)=Find!$C$5,MAX(S$4:S231)+1,""))</f>
        <v/>
      </c>
      <c r="T232" s="17" t="str">
        <f aca="false">IF(A232="","",IF(OR(J232=Manifest!$C$4,K232=Manifest!$C$4),MAX(T$4:T231)+1,""))</f>
        <v/>
      </c>
    </row>
    <row r="233" customFormat="false" ht="15" hidden="false" customHeight="false" outlineLevel="0" collapsed="false">
      <c r="C233" s="14"/>
      <c r="E233" s="14"/>
      <c r="F233" s="14"/>
      <c r="G233" s="14"/>
      <c r="H233" s="14"/>
      <c r="M233" s="12"/>
      <c r="O233" s="15" t="str">
        <f aca="false">IF(OR(M233="",N233=""),"",M233+N233)</f>
        <v/>
      </c>
      <c r="P233" s="16" t="str">
        <f aca="true">IF(O233="","",O233-TODAY())</f>
        <v/>
      </c>
      <c r="Q233" s="17" t="str">
        <f aca="false">IF(A233="","",TRIM(IF(E233="","No owner. ","")&amp;IF(F233="","No storage location. ","")&amp;IF(D233="","Serial missing. ","")&amp;IF(OR(H233="",H233="Undecided"),"No disposition. ","")&amp;IF(AND(H233="Ship",J233="",K233=""),"Shipping but no container/vehicle. ","")&amp;IF(AND(J233&lt;&gt;"",K233&lt;&gt;""),"In both a container and a vehicle. ","")&amp;IF(AND(H233="Ship",L233=""),"No destination. ","")&amp;IF(AND(J233&lt;&gt;"",L233&lt;&gt;"",IFERROR(VLOOKUP(J233,Containers!$A$5:$F$60,6,FALSE()),L233)&lt;&gt;L233),"Destination differs from container. ","")&amp;IF(AND(K233&lt;&gt;"",L233&lt;&gt;"",IFERROR(VLOOKUP(K233,Vehicles!$A$5:$F$60,6,FALSE()),L233)&lt;&gt;L233),"Destination differs from vehicle. ","")&amp;IF(AND(H233="Stay",OR(J233&lt;&gt;"",K233&lt;&gt;"",L233&lt;&gt;"")),"Marked Stay but has a container/vehicle/destination. ","")&amp;IF(G233="Missing","Reported missing. ","")&amp;IF(AND(P233&lt;&gt;"",N(P233)&lt;0),"Service overdue. ","")))</f>
        <v/>
      </c>
      <c r="S233" s="17" t="str">
        <f aca="false">IF(A233="","",IF(CHOOSE(MATCH(Find!$C$4,Lists!$K$2:$K$7,0),F233,E233,J233,K233,L233,G233)=Find!$C$5,MAX(S$4:S232)+1,""))</f>
        <v/>
      </c>
      <c r="T233" s="17" t="str">
        <f aca="false">IF(A233="","",IF(OR(J233=Manifest!$C$4,K233=Manifest!$C$4),MAX(T$4:T232)+1,""))</f>
        <v/>
      </c>
    </row>
    <row r="234" customFormat="false" ht="15" hidden="false" customHeight="false" outlineLevel="0" collapsed="false">
      <c r="C234" s="14"/>
      <c r="E234" s="14"/>
      <c r="F234" s="14"/>
      <c r="G234" s="14"/>
      <c r="H234" s="14"/>
      <c r="M234" s="12"/>
      <c r="O234" s="15" t="str">
        <f aca="false">IF(OR(M234="",N234=""),"",M234+N234)</f>
        <v/>
      </c>
      <c r="P234" s="16" t="str">
        <f aca="true">IF(O234="","",O234-TODAY())</f>
        <v/>
      </c>
      <c r="Q234" s="17" t="str">
        <f aca="false">IF(A234="","",TRIM(IF(E234="","No owner. ","")&amp;IF(F234="","No storage location. ","")&amp;IF(D234="","Serial missing. ","")&amp;IF(OR(H234="",H234="Undecided"),"No disposition. ","")&amp;IF(AND(H234="Ship",J234="",K234=""),"Shipping but no container/vehicle. ","")&amp;IF(AND(J234&lt;&gt;"",K234&lt;&gt;""),"In both a container and a vehicle. ","")&amp;IF(AND(H234="Ship",L234=""),"No destination. ","")&amp;IF(AND(J234&lt;&gt;"",L234&lt;&gt;"",IFERROR(VLOOKUP(J234,Containers!$A$5:$F$60,6,FALSE()),L234)&lt;&gt;L234),"Destination differs from container. ","")&amp;IF(AND(K234&lt;&gt;"",L234&lt;&gt;"",IFERROR(VLOOKUP(K234,Vehicles!$A$5:$F$60,6,FALSE()),L234)&lt;&gt;L234),"Destination differs from vehicle. ","")&amp;IF(AND(H234="Stay",OR(J234&lt;&gt;"",K234&lt;&gt;"",L234&lt;&gt;"")),"Marked Stay but has a container/vehicle/destination. ","")&amp;IF(G234="Missing","Reported missing. ","")&amp;IF(AND(P234&lt;&gt;"",N(P234)&lt;0),"Service overdue. ","")))</f>
        <v/>
      </c>
      <c r="S234" s="17" t="str">
        <f aca="false">IF(A234="","",IF(CHOOSE(MATCH(Find!$C$4,Lists!$K$2:$K$7,0),F234,E234,J234,K234,L234,G234)=Find!$C$5,MAX(S$4:S233)+1,""))</f>
        <v/>
      </c>
      <c r="T234" s="17" t="str">
        <f aca="false">IF(A234="","",IF(OR(J234=Manifest!$C$4,K234=Manifest!$C$4),MAX(T$4:T233)+1,""))</f>
        <v/>
      </c>
    </row>
    <row r="235" customFormat="false" ht="15" hidden="false" customHeight="false" outlineLevel="0" collapsed="false">
      <c r="C235" s="14"/>
      <c r="E235" s="14"/>
      <c r="F235" s="14"/>
      <c r="G235" s="14"/>
      <c r="H235" s="14"/>
      <c r="M235" s="12"/>
      <c r="O235" s="15" t="str">
        <f aca="false">IF(OR(M235="",N235=""),"",M235+N235)</f>
        <v/>
      </c>
      <c r="P235" s="16" t="str">
        <f aca="true">IF(O235="","",O235-TODAY())</f>
        <v/>
      </c>
      <c r="Q235" s="17" t="str">
        <f aca="false">IF(A235="","",TRIM(IF(E235="","No owner. ","")&amp;IF(F235="","No storage location. ","")&amp;IF(D235="","Serial missing. ","")&amp;IF(OR(H235="",H235="Undecided"),"No disposition. ","")&amp;IF(AND(H235="Ship",J235="",K235=""),"Shipping but no container/vehicle. ","")&amp;IF(AND(J235&lt;&gt;"",K235&lt;&gt;""),"In both a container and a vehicle. ","")&amp;IF(AND(H235="Ship",L235=""),"No destination. ","")&amp;IF(AND(J235&lt;&gt;"",L235&lt;&gt;"",IFERROR(VLOOKUP(J235,Containers!$A$5:$F$60,6,FALSE()),L235)&lt;&gt;L235),"Destination differs from container. ","")&amp;IF(AND(K235&lt;&gt;"",L235&lt;&gt;"",IFERROR(VLOOKUP(K235,Vehicles!$A$5:$F$60,6,FALSE()),L235)&lt;&gt;L235),"Destination differs from vehicle. ","")&amp;IF(AND(H235="Stay",OR(J235&lt;&gt;"",K235&lt;&gt;"",L235&lt;&gt;"")),"Marked Stay but has a container/vehicle/destination. ","")&amp;IF(G235="Missing","Reported missing. ","")&amp;IF(AND(P235&lt;&gt;"",N(P235)&lt;0),"Service overdue. ","")))</f>
        <v/>
      </c>
      <c r="S235" s="17" t="str">
        <f aca="false">IF(A235="","",IF(CHOOSE(MATCH(Find!$C$4,Lists!$K$2:$K$7,0),F235,E235,J235,K235,L235,G235)=Find!$C$5,MAX(S$4:S234)+1,""))</f>
        <v/>
      </c>
      <c r="T235" s="17" t="str">
        <f aca="false">IF(A235="","",IF(OR(J235=Manifest!$C$4,K235=Manifest!$C$4),MAX(T$4:T234)+1,""))</f>
        <v/>
      </c>
    </row>
    <row r="236" customFormat="false" ht="15" hidden="false" customHeight="false" outlineLevel="0" collapsed="false">
      <c r="C236" s="14"/>
      <c r="E236" s="14"/>
      <c r="F236" s="14"/>
      <c r="G236" s="14"/>
      <c r="H236" s="14"/>
      <c r="M236" s="12"/>
      <c r="O236" s="15" t="str">
        <f aca="false">IF(OR(M236="",N236=""),"",M236+N236)</f>
        <v/>
      </c>
      <c r="P236" s="16" t="str">
        <f aca="true">IF(O236="","",O236-TODAY())</f>
        <v/>
      </c>
      <c r="Q236" s="17" t="str">
        <f aca="false">IF(A236="","",TRIM(IF(E236="","No owner. ","")&amp;IF(F236="","No storage location. ","")&amp;IF(D236="","Serial missing. ","")&amp;IF(OR(H236="",H236="Undecided"),"No disposition. ","")&amp;IF(AND(H236="Ship",J236="",K236=""),"Shipping but no container/vehicle. ","")&amp;IF(AND(J236&lt;&gt;"",K236&lt;&gt;""),"In both a container and a vehicle. ","")&amp;IF(AND(H236="Ship",L236=""),"No destination. ","")&amp;IF(AND(J236&lt;&gt;"",L236&lt;&gt;"",IFERROR(VLOOKUP(J236,Containers!$A$5:$F$60,6,FALSE()),L236)&lt;&gt;L236),"Destination differs from container. ","")&amp;IF(AND(K236&lt;&gt;"",L236&lt;&gt;"",IFERROR(VLOOKUP(K236,Vehicles!$A$5:$F$60,6,FALSE()),L236)&lt;&gt;L236),"Destination differs from vehicle. ","")&amp;IF(AND(H236="Stay",OR(J236&lt;&gt;"",K236&lt;&gt;"",L236&lt;&gt;"")),"Marked Stay but has a container/vehicle/destination. ","")&amp;IF(G236="Missing","Reported missing. ","")&amp;IF(AND(P236&lt;&gt;"",N(P236)&lt;0),"Service overdue. ","")))</f>
        <v/>
      </c>
      <c r="S236" s="17" t="str">
        <f aca="false">IF(A236="","",IF(CHOOSE(MATCH(Find!$C$4,Lists!$K$2:$K$7,0),F236,E236,J236,K236,L236,G236)=Find!$C$5,MAX(S$4:S235)+1,""))</f>
        <v/>
      </c>
      <c r="T236" s="17" t="str">
        <f aca="false">IF(A236="","",IF(OR(J236=Manifest!$C$4,K236=Manifest!$C$4),MAX(T$4:T235)+1,""))</f>
        <v/>
      </c>
    </row>
    <row r="237" customFormat="false" ht="15" hidden="false" customHeight="false" outlineLevel="0" collapsed="false">
      <c r="C237" s="14"/>
      <c r="E237" s="14"/>
      <c r="F237" s="14"/>
      <c r="G237" s="14"/>
      <c r="H237" s="14"/>
      <c r="M237" s="12"/>
      <c r="O237" s="15" t="str">
        <f aca="false">IF(OR(M237="",N237=""),"",M237+N237)</f>
        <v/>
      </c>
      <c r="P237" s="16" t="str">
        <f aca="true">IF(O237="","",O237-TODAY())</f>
        <v/>
      </c>
      <c r="Q237" s="17" t="str">
        <f aca="false">IF(A237="","",TRIM(IF(E237="","No owner. ","")&amp;IF(F237="","No storage location. ","")&amp;IF(D237="","Serial missing. ","")&amp;IF(OR(H237="",H237="Undecided"),"No disposition. ","")&amp;IF(AND(H237="Ship",J237="",K237=""),"Shipping but no container/vehicle. ","")&amp;IF(AND(J237&lt;&gt;"",K237&lt;&gt;""),"In both a container and a vehicle. ","")&amp;IF(AND(H237="Ship",L237=""),"No destination. ","")&amp;IF(AND(J237&lt;&gt;"",L237&lt;&gt;"",IFERROR(VLOOKUP(J237,Containers!$A$5:$F$60,6,FALSE()),L237)&lt;&gt;L237),"Destination differs from container. ","")&amp;IF(AND(K237&lt;&gt;"",L237&lt;&gt;"",IFERROR(VLOOKUP(K237,Vehicles!$A$5:$F$60,6,FALSE()),L237)&lt;&gt;L237),"Destination differs from vehicle. ","")&amp;IF(AND(H237="Stay",OR(J237&lt;&gt;"",K237&lt;&gt;"",L237&lt;&gt;"")),"Marked Stay but has a container/vehicle/destination. ","")&amp;IF(G237="Missing","Reported missing. ","")&amp;IF(AND(P237&lt;&gt;"",N(P237)&lt;0),"Service overdue. ","")))</f>
        <v/>
      </c>
      <c r="S237" s="17" t="str">
        <f aca="false">IF(A237="","",IF(CHOOSE(MATCH(Find!$C$4,Lists!$K$2:$K$7,0),F237,E237,J237,K237,L237,G237)=Find!$C$5,MAX(S$4:S236)+1,""))</f>
        <v/>
      </c>
      <c r="T237" s="17" t="str">
        <f aca="false">IF(A237="","",IF(OR(J237=Manifest!$C$4,K237=Manifest!$C$4),MAX(T$4:T236)+1,""))</f>
        <v/>
      </c>
    </row>
    <row r="238" customFormat="false" ht="15" hidden="false" customHeight="false" outlineLevel="0" collapsed="false">
      <c r="C238" s="14"/>
      <c r="E238" s="14"/>
      <c r="F238" s="14"/>
      <c r="G238" s="14"/>
      <c r="H238" s="14"/>
      <c r="M238" s="12"/>
      <c r="O238" s="15" t="str">
        <f aca="false">IF(OR(M238="",N238=""),"",M238+N238)</f>
        <v/>
      </c>
      <c r="P238" s="16" t="str">
        <f aca="true">IF(O238="","",O238-TODAY())</f>
        <v/>
      </c>
      <c r="Q238" s="17" t="str">
        <f aca="false">IF(A238="","",TRIM(IF(E238="","No owner. ","")&amp;IF(F238="","No storage location. ","")&amp;IF(D238="","Serial missing. ","")&amp;IF(OR(H238="",H238="Undecided"),"No disposition. ","")&amp;IF(AND(H238="Ship",J238="",K238=""),"Shipping but no container/vehicle. ","")&amp;IF(AND(J238&lt;&gt;"",K238&lt;&gt;""),"In both a container and a vehicle. ","")&amp;IF(AND(H238="Ship",L238=""),"No destination. ","")&amp;IF(AND(J238&lt;&gt;"",L238&lt;&gt;"",IFERROR(VLOOKUP(J238,Containers!$A$5:$F$60,6,FALSE()),L238)&lt;&gt;L238),"Destination differs from container. ","")&amp;IF(AND(K238&lt;&gt;"",L238&lt;&gt;"",IFERROR(VLOOKUP(K238,Vehicles!$A$5:$F$60,6,FALSE()),L238)&lt;&gt;L238),"Destination differs from vehicle. ","")&amp;IF(AND(H238="Stay",OR(J238&lt;&gt;"",K238&lt;&gt;"",L238&lt;&gt;"")),"Marked Stay but has a container/vehicle/destination. ","")&amp;IF(G238="Missing","Reported missing. ","")&amp;IF(AND(P238&lt;&gt;"",N(P238)&lt;0),"Service overdue. ","")))</f>
        <v/>
      </c>
      <c r="S238" s="17" t="str">
        <f aca="false">IF(A238="","",IF(CHOOSE(MATCH(Find!$C$4,Lists!$K$2:$K$7,0),F238,E238,J238,K238,L238,G238)=Find!$C$5,MAX(S$4:S237)+1,""))</f>
        <v/>
      </c>
      <c r="T238" s="17" t="str">
        <f aca="false">IF(A238="","",IF(OR(J238=Manifest!$C$4,K238=Manifest!$C$4),MAX(T$4:T237)+1,""))</f>
        <v/>
      </c>
    </row>
    <row r="239" customFormat="false" ht="15" hidden="false" customHeight="false" outlineLevel="0" collapsed="false">
      <c r="C239" s="14"/>
      <c r="E239" s="14"/>
      <c r="F239" s="14"/>
      <c r="G239" s="14"/>
      <c r="H239" s="14"/>
      <c r="M239" s="12"/>
      <c r="O239" s="15" t="str">
        <f aca="false">IF(OR(M239="",N239=""),"",M239+N239)</f>
        <v/>
      </c>
      <c r="P239" s="16" t="str">
        <f aca="true">IF(O239="","",O239-TODAY())</f>
        <v/>
      </c>
      <c r="Q239" s="17" t="str">
        <f aca="false">IF(A239="","",TRIM(IF(E239="","No owner. ","")&amp;IF(F239="","No storage location. ","")&amp;IF(D239="","Serial missing. ","")&amp;IF(OR(H239="",H239="Undecided"),"No disposition. ","")&amp;IF(AND(H239="Ship",J239="",K239=""),"Shipping but no container/vehicle. ","")&amp;IF(AND(J239&lt;&gt;"",K239&lt;&gt;""),"In both a container and a vehicle. ","")&amp;IF(AND(H239="Ship",L239=""),"No destination. ","")&amp;IF(AND(J239&lt;&gt;"",L239&lt;&gt;"",IFERROR(VLOOKUP(J239,Containers!$A$5:$F$60,6,FALSE()),L239)&lt;&gt;L239),"Destination differs from container. ","")&amp;IF(AND(K239&lt;&gt;"",L239&lt;&gt;"",IFERROR(VLOOKUP(K239,Vehicles!$A$5:$F$60,6,FALSE()),L239)&lt;&gt;L239),"Destination differs from vehicle. ","")&amp;IF(AND(H239="Stay",OR(J239&lt;&gt;"",K239&lt;&gt;"",L239&lt;&gt;"")),"Marked Stay but has a container/vehicle/destination. ","")&amp;IF(G239="Missing","Reported missing. ","")&amp;IF(AND(P239&lt;&gt;"",N(P239)&lt;0),"Service overdue. ","")))</f>
        <v/>
      </c>
      <c r="S239" s="17" t="str">
        <f aca="false">IF(A239="","",IF(CHOOSE(MATCH(Find!$C$4,Lists!$K$2:$K$7,0),F239,E239,J239,K239,L239,G239)=Find!$C$5,MAX(S$4:S238)+1,""))</f>
        <v/>
      </c>
      <c r="T239" s="17" t="str">
        <f aca="false">IF(A239="","",IF(OR(J239=Manifest!$C$4,K239=Manifest!$C$4),MAX(T$4:T238)+1,""))</f>
        <v/>
      </c>
    </row>
    <row r="240" customFormat="false" ht="15" hidden="false" customHeight="false" outlineLevel="0" collapsed="false">
      <c r="C240" s="14"/>
      <c r="E240" s="14"/>
      <c r="F240" s="14"/>
      <c r="G240" s="14"/>
      <c r="H240" s="14"/>
      <c r="M240" s="12"/>
      <c r="O240" s="15" t="str">
        <f aca="false">IF(OR(M240="",N240=""),"",M240+N240)</f>
        <v/>
      </c>
      <c r="P240" s="16" t="str">
        <f aca="true">IF(O240="","",O240-TODAY())</f>
        <v/>
      </c>
      <c r="Q240" s="17" t="str">
        <f aca="false">IF(A240="","",TRIM(IF(E240="","No owner. ","")&amp;IF(F240="","No storage location. ","")&amp;IF(D240="","Serial missing. ","")&amp;IF(OR(H240="",H240="Undecided"),"No disposition. ","")&amp;IF(AND(H240="Ship",J240="",K240=""),"Shipping but no container/vehicle. ","")&amp;IF(AND(J240&lt;&gt;"",K240&lt;&gt;""),"In both a container and a vehicle. ","")&amp;IF(AND(H240="Ship",L240=""),"No destination. ","")&amp;IF(AND(J240&lt;&gt;"",L240&lt;&gt;"",IFERROR(VLOOKUP(J240,Containers!$A$5:$F$60,6,FALSE()),L240)&lt;&gt;L240),"Destination differs from container. ","")&amp;IF(AND(K240&lt;&gt;"",L240&lt;&gt;"",IFERROR(VLOOKUP(K240,Vehicles!$A$5:$F$60,6,FALSE()),L240)&lt;&gt;L240),"Destination differs from vehicle. ","")&amp;IF(AND(H240="Stay",OR(J240&lt;&gt;"",K240&lt;&gt;"",L240&lt;&gt;"")),"Marked Stay but has a container/vehicle/destination. ","")&amp;IF(G240="Missing","Reported missing. ","")&amp;IF(AND(P240&lt;&gt;"",N(P240)&lt;0),"Service overdue. ","")))</f>
        <v/>
      </c>
      <c r="S240" s="17" t="str">
        <f aca="false">IF(A240="","",IF(CHOOSE(MATCH(Find!$C$4,Lists!$K$2:$K$7,0),F240,E240,J240,K240,L240,G240)=Find!$C$5,MAX(S$4:S239)+1,""))</f>
        <v/>
      </c>
      <c r="T240" s="17" t="str">
        <f aca="false">IF(A240="","",IF(OR(J240=Manifest!$C$4,K240=Manifest!$C$4),MAX(T$4:T239)+1,""))</f>
        <v/>
      </c>
    </row>
    <row r="241" customFormat="false" ht="15" hidden="false" customHeight="false" outlineLevel="0" collapsed="false">
      <c r="C241" s="14"/>
      <c r="E241" s="14"/>
      <c r="F241" s="14"/>
      <c r="G241" s="14"/>
      <c r="H241" s="14"/>
      <c r="M241" s="12"/>
      <c r="O241" s="15" t="str">
        <f aca="false">IF(OR(M241="",N241=""),"",M241+N241)</f>
        <v/>
      </c>
      <c r="P241" s="16" t="str">
        <f aca="true">IF(O241="","",O241-TODAY())</f>
        <v/>
      </c>
      <c r="Q241" s="17" t="str">
        <f aca="false">IF(A241="","",TRIM(IF(E241="","No owner. ","")&amp;IF(F241="","No storage location. ","")&amp;IF(D241="","Serial missing. ","")&amp;IF(OR(H241="",H241="Undecided"),"No disposition. ","")&amp;IF(AND(H241="Ship",J241="",K241=""),"Shipping but no container/vehicle. ","")&amp;IF(AND(J241&lt;&gt;"",K241&lt;&gt;""),"In both a container and a vehicle. ","")&amp;IF(AND(H241="Ship",L241=""),"No destination. ","")&amp;IF(AND(J241&lt;&gt;"",L241&lt;&gt;"",IFERROR(VLOOKUP(J241,Containers!$A$5:$F$60,6,FALSE()),L241)&lt;&gt;L241),"Destination differs from container. ","")&amp;IF(AND(K241&lt;&gt;"",L241&lt;&gt;"",IFERROR(VLOOKUP(K241,Vehicles!$A$5:$F$60,6,FALSE()),L241)&lt;&gt;L241),"Destination differs from vehicle. ","")&amp;IF(AND(H241="Stay",OR(J241&lt;&gt;"",K241&lt;&gt;"",L241&lt;&gt;"")),"Marked Stay but has a container/vehicle/destination. ","")&amp;IF(G241="Missing","Reported missing. ","")&amp;IF(AND(P241&lt;&gt;"",N(P241)&lt;0),"Service overdue. ","")))</f>
        <v/>
      </c>
      <c r="S241" s="17" t="str">
        <f aca="false">IF(A241="","",IF(CHOOSE(MATCH(Find!$C$4,Lists!$K$2:$K$7,0),F241,E241,J241,K241,L241,G241)=Find!$C$5,MAX(S$4:S240)+1,""))</f>
        <v/>
      </c>
      <c r="T241" s="17" t="str">
        <f aca="false">IF(A241="","",IF(OR(J241=Manifest!$C$4,K241=Manifest!$C$4),MAX(T$4:T240)+1,""))</f>
        <v/>
      </c>
    </row>
    <row r="242" customFormat="false" ht="15" hidden="false" customHeight="false" outlineLevel="0" collapsed="false">
      <c r="C242" s="14"/>
      <c r="E242" s="14"/>
      <c r="F242" s="14"/>
      <c r="G242" s="14"/>
      <c r="H242" s="14"/>
      <c r="M242" s="12"/>
      <c r="O242" s="15" t="str">
        <f aca="false">IF(OR(M242="",N242=""),"",M242+N242)</f>
        <v/>
      </c>
      <c r="P242" s="16" t="str">
        <f aca="true">IF(O242="","",O242-TODAY())</f>
        <v/>
      </c>
      <c r="Q242" s="17" t="str">
        <f aca="false">IF(A242="","",TRIM(IF(E242="","No owner. ","")&amp;IF(F242="","No storage location. ","")&amp;IF(D242="","Serial missing. ","")&amp;IF(OR(H242="",H242="Undecided"),"No disposition. ","")&amp;IF(AND(H242="Ship",J242="",K242=""),"Shipping but no container/vehicle. ","")&amp;IF(AND(J242&lt;&gt;"",K242&lt;&gt;""),"In both a container and a vehicle. ","")&amp;IF(AND(H242="Ship",L242=""),"No destination. ","")&amp;IF(AND(J242&lt;&gt;"",L242&lt;&gt;"",IFERROR(VLOOKUP(J242,Containers!$A$5:$F$60,6,FALSE()),L242)&lt;&gt;L242),"Destination differs from container. ","")&amp;IF(AND(K242&lt;&gt;"",L242&lt;&gt;"",IFERROR(VLOOKUP(K242,Vehicles!$A$5:$F$60,6,FALSE()),L242)&lt;&gt;L242),"Destination differs from vehicle. ","")&amp;IF(AND(H242="Stay",OR(J242&lt;&gt;"",K242&lt;&gt;"",L242&lt;&gt;"")),"Marked Stay but has a container/vehicle/destination. ","")&amp;IF(G242="Missing","Reported missing. ","")&amp;IF(AND(P242&lt;&gt;"",N(P242)&lt;0),"Service overdue. ","")))</f>
        <v/>
      </c>
      <c r="S242" s="17" t="str">
        <f aca="false">IF(A242="","",IF(CHOOSE(MATCH(Find!$C$4,Lists!$K$2:$K$7,0),F242,E242,J242,K242,L242,G242)=Find!$C$5,MAX(S$4:S241)+1,""))</f>
        <v/>
      </c>
      <c r="T242" s="17" t="str">
        <f aca="false">IF(A242="","",IF(OR(J242=Manifest!$C$4,K242=Manifest!$C$4),MAX(T$4:T241)+1,""))</f>
        <v/>
      </c>
    </row>
    <row r="243" customFormat="false" ht="15" hidden="false" customHeight="false" outlineLevel="0" collapsed="false">
      <c r="C243" s="14"/>
      <c r="E243" s="14"/>
      <c r="F243" s="14"/>
      <c r="G243" s="14"/>
      <c r="H243" s="14"/>
      <c r="M243" s="12"/>
      <c r="O243" s="15" t="str">
        <f aca="false">IF(OR(M243="",N243=""),"",M243+N243)</f>
        <v/>
      </c>
      <c r="P243" s="16" t="str">
        <f aca="true">IF(O243="","",O243-TODAY())</f>
        <v/>
      </c>
      <c r="Q243" s="17" t="str">
        <f aca="false">IF(A243="","",TRIM(IF(E243="","No owner. ","")&amp;IF(F243="","No storage location. ","")&amp;IF(D243="","Serial missing. ","")&amp;IF(OR(H243="",H243="Undecided"),"No disposition. ","")&amp;IF(AND(H243="Ship",J243="",K243=""),"Shipping but no container/vehicle. ","")&amp;IF(AND(J243&lt;&gt;"",K243&lt;&gt;""),"In both a container and a vehicle. ","")&amp;IF(AND(H243="Ship",L243=""),"No destination. ","")&amp;IF(AND(J243&lt;&gt;"",L243&lt;&gt;"",IFERROR(VLOOKUP(J243,Containers!$A$5:$F$60,6,FALSE()),L243)&lt;&gt;L243),"Destination differs from container. ","")&amp;IF(AND(K243&lt;&gt;"",L243&lt;&gt;"",IFERROR(VLOOKUP(K243,Vehicles!$A$5:$F$60,6,FALSE()),L243)&lt;&gt;L243),"Destination differs from vehicle. ","")&amp;IF(AND(H243="Stay",OR(J243&lt;&gt;"",K243&lt;&gt;"",L243&lt;&gt;"")),"Marked Stay but has a container/vehicle/destination. ","")&amp;IF(G243="Missing","Reported missing. ","")&amp;IF(AND(P243&lt;&gt;"",N(P243)&lt;0),"Service overdue. ","")))</f>
        <v/>
      </c>
      <c r="S243" s="17" t="str">
        <f aca="false">IF(A243="","",IF(CHOOSE(MATCH(Find!$C$4,Lists!$K$2:$K$7,0),F243,E243,J243,K243,L243,G243)=Find!$C$5,MAX(S$4:S242)+1,""))</f>
        <v/>
      </c>
      <c r="T243" s="17" t="str">
        <f aca="false">IF(A243="","",IF(OR(J243=Manifest!$C$4,K243=Manifest!$C$4),MAX(T$4:T242)+1,""))</f>
        <v/>
      </c>
    </row>
    <row r="244" customFormat="false" ht="15" hidden="false" customHeight="false" outlineLevel="0" collapsed="false">
      <c r="C244" s="14"/>
      <c r="E244" s="14"/>
      <c r="F244" s="14"/>
      <c r="G244" s="14"/>
      <c r="H244" s="14"/>
      <c r="M244" s="12"/>
      <c r="O244" s="15" t="str">
        <f aca="false">IF(OR(M244="",N244=""),"",M244+N244)</f>
        <v/>
      </c>
      <c r="P244" s="16" t="str">
        <f aca="true">IF(O244="","",O244-TODAY())</f>
        <v/>
      </c>
      <c r="Q244" s="17" t="str">
        <f aca="false">IF(A244="","",TRIM(IF(E244="","No owner. ","")&amp;IF(F244="","No storage location. ","")&amp;IF(D244="","Serial missing. ","")&amp;IF(OR(H244="",H244="Undecided"),"No disposition. ","")&amp;IF(AND(H244="Ship",J244="",K244=""),"Shipping but no container/vehicle. ","")&amp;IF(AND(J244&lt;&gt;"",K244&lt;&gt;""),"In both a container and a vehicle. ","")&amp;IF(AND(H244="Ship",L244=""),"No destination. ","")&amp;IF(AND(J244&lt;&gt;"",L244&lt;&gt;"",IFERROR(VLOOKUP(J244,Containers!$A$5:$F$60,6,FALSE()),L244)&lt;&gt;L244),"Destination differs from container. ","")&amp;IF(AND(K244&lt;&gt;"",L244&lt;&gt;"",IFERROR(VLOOKUP(K244,Vehicles!$A$5:$F$60,6,FALSE()),L244)&lt;&gt;L244),"Destination differs from vehicle. ","")&amp;IF(AND(H244="Stay",OR(J244&lt;&gt;"",K244&lt;&gt;"",L244&lt;&gt;"")),"Marked Stay but has a container/vehicle/destination. ","")&amp;IF(G244="Missing","Reported missing. ","")&amp;IF(AND(P244&lt;&gt;"",N(P244)&lt;0),"Service overdue. ","")))</f>
        <v/>
      </c>
      <c r="S244" s="17" t="str">
        <f aca="false">IF(A244="","",IF(CHOOSE(MATCH(Find!$C$4,Lists!$K$2:$K$7,0),F244,E244,J244,K244,L244,G244)=Find!$C$5,MAX(S$4:S243)+1,""))</f>
        <v/>
      </c>
      <c r="T244" s="17" t="str">
        <f aca="false">IF(A244="","",IF(OR(J244=Manifest!$C$4,K244=Manifest!$C$4),MAX(T$4:T243)+1,""))</f>
        <v/>
      </c>
    </row>
    <row r="245" customFormat="false" ht="15" hidden="false" customHeight="false" outlineLevel="0" collapsed="false">
      <c r="C245" s="14"/>
      <c r="E245" s="14"/>
      <c r="F245" s="14"/>
      <c r="G245" s="14"/>
      <c r="H245" s="14"/>
      <c r="M245" s="12"/>
      <c r="O245" s="15" t="str">
        <f aca="false">IF(OR(M245="",N245=""),"",M245+N245)</f>
        <v/>
      </c>
      <c r="P245" s="16" t="str">
        <f aca="true">IF(O245="","",O245-TODAY())</f>
        <v/>
      </c>
      <c r="Q245" s="17" t="str">
        <f aca="false">IF(A245="","",TRIM(IF(E245="","No owner. ","")&amp;IF(F245="","No storage location. ","")&amp;IF(D245="","Serial missing. ","")&amp;IF(OR(H245="",H245="Undecided"),"No disposition. ","")&amp;IF(AND(H245="Ship",J245="",K245=""),"Shipping but no container/vehicle. ","")&amp;IF(AND(J245&lt;&gt;"",K245&lt;&gt;""),"In both a container and a vehicle. ","")&amp;IF(AND(H245="Ship",L245=""),"No destination. ","")&amp;IF(AND(J245&lt;&gt;"",L245&lt;&gt;"",IFERROR(VLOOKUP(J245,Containers!$A$5:$F$60,6,FALSE()),L245)&lt;&gt;L245),"Destination differs from container. ","")&amp;IF(AND(K245&lt;&gt;"",L245&lt;&gt;"",IFERROR(VLOOKUP(K245,Vehicles!$A$5:$F$60,6,FALSE()),L245)&lt;&gt;L245),"Destination differs from vehicle. ","")&amp;IF(AND(H245="Stay",OR(J245&lt;&gt;"",K245&lt;&gt;"",L245&lt;&gt;"")),"Marked Stay but has a container/vehicle/destination. ","")&amp;IF(G245="Missing","Reported missing. ","")&amp;IF(AND(P245&lt;&gt;"",N(P245)&lt;0),"Service overdue. ","")))</f>
        <v/>
      </c>
      <c r="S245" s="17" t="str">
        <f aca="false">IF(A245="","",IF(CHOOSE(MATCH(Find!$C$4,Lists!$K$2:$K$7,0),F245,E245,J245,K245,L245,G245)=Find!$C$5,MAX(S$4:S244)+1,""))</f>
        <v/>
      </c>
      <c r="T245" s="17" t="str">
        <f aca="false">IF(A245="","",IF(OR(J245=Manifest!$C$4,K245=Manifest!$C$4),MAX(T$4:T244)+1,""))</f>
        <v/>
      </c>
    </row>
    <row r="246" customFormat="false" ht="15" hidden="false" customHeight="false" outlineLevel="0" collapsed="false">
      <c r="C246" s="14"/>
      <c r="E246" s="14"/>
      <c r="F246" s="14"/>
      <c r="G246" s="14"/>
      <c r="H246" s="14"/>
      <c r="M246" s="12"/>
      <c r="O246" s="15" t="str">
        <f aca="false">IF(OR(M246="",N246=""),"",M246+N246)</f>
        <v/>
      </c>
      <c r="P246" s="16" t="str">
        <f aca="true">IF(O246="","",O246-TODAY())</f>
        <v/>
      </c>
      <c r="Q246" s="17" t="str">
        <f aca="false">IF(A246="","",TRIM(IF(E246="","No owner. ","")&amp;IF(F246="","No storage location. ","")&amp;IF(D246="","Serial missing. ","")&amp;IF(OR(H246="",H246="Undecided"),"No disposition. ","")&amp;IF(AND(H246="Ship",J246="",K246=""),"Shipping but no container/vehicle. ","")&amp;IF(AND(J246&lt;&gt;"",K246&lt;&gt;""),"In both a container and a vehicle. ","")&amp;IF(AND(H246="Ship",L246=""),"No destination. ","")&amp;IF(AND(J246&lt;&gt;"",L246&lt;&gt;"",IFERROR(VLOOKUP(J246,Containers!$A$5:$F$60,6,FALSE()),L246)&lt;&gt;L246),"Destination differs from container. ","")&amp;IF(AND(K246&lt;&gt;"",L246&lt;&gt;"",IFERROR(VLOOKUP(K246,Vehicles!$A$5:$F$60,6,FALSE()),L246)&lt;&gt;L246),"Destination differs from vehicle. ","")&amp;IF(AND(H246="Stay",OR(J246&lt;&gt;"",K246&lt;&gt;"",L246&lt;&gt;"")),"Marked Stay but has a container/vehicle/destination. ","")&amp;IF(G246="Missing","Reported missing. ","")&amp;IF(AND(P246&lt;&gt;"",N(P246)&lt;0),"Service overdue. ","")))</f>
        <v/>
      </c>
      <c r="S246" s="17" t="str">
        <f aca="false">IF(A246="","",IF(CHOOSE(MATCH(Find!$C$4,Lists!$K$2:$K$7,0),F246,E246,J246,K246,L246,G246)=Find!$C$5,MAX(S$4:S245)+1,""))</f>
        <v/>
      </c>
      <c r="T246" s="17" t="str">
        <f aca="false">IF(A246="","",IF(OR(J246=Manifest!$C$4,K246=Manifest!$C$4),MAX(T$4:T245)+1,""))</f>
        <v/>
      </c>
    </row>
    <row r="247" customFormat="false" ht="15" hidden="false" customHeight="false" outlineLevel="0" collapsed="false">
      <c r="C247" s="14"/>
      <c r="E247" s="14"/>
      <c r="F247" s="14"/>
      <c r="G247" s="14"/>
      <c r="H247" s="14"/>
      <c r="M247" s="12"/>
      <c r="O247" s="15" t="str">
        <f aca="false">IF(OR(M247="",N247=""),"",M247+N247)</f>
        <v/>
      </c>
      <c r="P247" s="16" t="str">
        <f aca="true">IF(O247="","",O247-TODAY())</f>
        <v/>
      </c>
      <c r="Q247" s="17" t="str">
        <f aca="false">IF(A247="","",TRIM(IF(E247="","No owner. ","")&amp;IF(F247="","No storage location. ","")&amp;IF(D247="","Serial missing. ","")&amp;IF(OR(H247="",H247="Undecided"),"No disposition. ","")&amp;IF(AND(H247="Ship",J247="",K247=""),"Shipping but no container/vehicle. ","")&amp;IF(AND(J247&lt;&gt;"",K247&lt;&gt;""),"In both a container and a vehicle. ","")&amp;IF(AND(H247="Ship",L247=""),"No destination. ","")&amp;IF(AND(J247&lt;&gt;"",L247&lt;&gt;"",IFERROR(VLOOKUP(J247,Containers!$A$5:$F$60,6,FALSE()),L247)&lt;&gt;L247),"Destination differs from container. ","")&amp;IF(AND(K247&lt;&gt;"",L247&lt;&gt;"",IFERROR(VLOOKUP(K247,Vehicles!$A$5:$F$60,6,FALSE()),L247)&lt;&gt;L247),"Destination differs from vehicle. ","")&amp;IF(AND(H247="Stay",OR(J247&lt;&gt;"",K247&lt;&gt;"",L247&lt;&gt;"")),"Marked Stay but has a container/vehicle/destination. ","")&amp;IF(G247="Missing","Reported missing. ","")&amp;IF(AND(P247&lt;&gt;"",N(P247)&lt;0),"Service overdue. ","")))</f>
        <v/>
      </c>
      <c r="S247" s="17" t="str">
        <f aca="false">IF(A247="","",IF(CHOOSE(MATCH(Find!$C$4,Lists!$K$2:$K$7,0),F247,E247,J247,K247,L247,G247)=Find!$C$5,MAX(S$4:S246)+1,""))</f>
        <v/>
      </c>
      <c r="T247" s="17" t="str">
        <f aca="false">IF(A247="","",IF(OR(J247=Manifest!$C$4,K247=Manifest!$C$4),MAX(T$4:T246)+1,""))</f>
        <v/>
      </c>
    </row>
    <row r="248" customFormat="false" ht="15" hidden="false" customHeight="false" outlineLevel="0" collapsed="false">
      <c r="C248" s="14"/>
      <c r="E248" s="14"/>
      <c r="F248" s="14"/>
      <c r="G248" s="14"/>
      <c r="H248" s="14"/>
      <c r="M248" s="12"/>
      <c r="O248" s="15" t="str">
        <f aca="false">IF(OR(M248="",N248=""),"",M248+N248)</f>
        <v/>
      </c>
      <c r="P248" s="16" t="str">
        <f aca="true">IF(O248="","",O248-TODAY())</f>
        <v/>
      </c>
      <c r="Q248" s="17" t="str">
        <f aca="false">IF(A248="","",TRIM(IF(E248="","No owner. ","")&amp;IF(F248="","No storage location. ","")&amp;IF(D248="","Serial missing. ","")&amp;IF(OR(H248="",H248="Undecided"),"No disposition. ","")&amp;IF(AND(H248="Ship",J248="",K248=""),"Shipping but no container/vehicle. ","")&amp;IF(AND(J248&lt;&gt;"",K248&lt;&gt;""),"In both a container and a vehicle. ","")&amp;IF(AND(H248="Ship",L248=""),"No destination. ","")&amp;IF(AND(J248&lt;&gt;"",L248&lt;&gt;"",IFERROR(VLOOKUP(J248,Containers!$A$5:$F$60,6,FALSE()),L248)&lt;&gt;L248),"Destination differs from container. ","")&amp;IF(AND(K248&lt;&gt;"",L248&lt;&gt;"",IFERROR(VLOOKUP(K248,Vehicles!$A$5:$F$60,6,FALSE()),L248)&lt;&gt;L248),"Destination differs from vehicle. ","")&amp;IF(AND(H248="Stay",OR(J248&lt;&gt;"",K248&lt;&gt;"",L248&lt;&gt;"")),"Marked Stay but has a container/vehicle/destination. ","")&amp;IF(G248="Missing","Reported missing. ","")&amp;IF(AND(P248&lt;&gt;"",N(P248)&lt;0),"Service overdue. ","")))</f>
        <v/>
      </c>
      <c r="S248" s="17" t="str">
        <f aca="false">IF(A248="","",IF(CHOOSE(MATCH(Find!$C$4,Lists!$K$2:$K$7,0),F248,E248,J248,K248,L248,G248)=Find!$C$5,MAX(S$4:S247)+1,""))</f>
        <v/>
      </c>
      <c r="T248" s="17" t="str">
        <f aca="false">IF(A248="","",IF(OR(J248=Manifest!$C$4,K248=Manifest!$C$4),MAX(T$4:T247)+1,""))</f>
        <v/>
      </c>
    </row>
    <row r="249" customFormat="false" ht="15" hidden="false" customHeight="false" outlineLevel="0" collapsed="false">
      <c r="C249" s="14"/>
      <c r="E249" s="14"/>
      <c r="F249" s="14"/>
      <c r="G249" s="14"/>
      <c r="H249" s="14"/>
      <c r="M249" s="12"/>
      <c r="O249" s="15" t="str">
        <f aca="false">IF(OR(M249="",N249=""),"",M249+N249)</f>
        <v/>
      </c>
      <c r="P249" s="16" t="str">
        <f aca="true">IF(O249="","",O249-TODAY())</f>
        <v/>
      </c>
      <c r="Q249" s="17" t="str">
        <f aca="false">IF(A249="","",TRIM(IF(E249="","No owner. ","")&amp;IF(F249="","No storage location. ","")&amp;IF(D249="","Serial missing. ","")&amp;IF(OR(H249="",H249="Undecided"),"No disposition. ","")&amp;IF(AND(H249="Ship",J249="",K249=""),"Shipping but no container/vehicle. ","")&amp;IF(AND(J249&lt;&gt;"",K249&lt;&gt;""),"In both a container and a vehicle. ","")&amp;IF(AND(H249="Ship",L249=""),"No destination. ","")&amp;IF(AND(J249&lt;&gt;"",L249&lt;&gt;"",IFERROR(VLOOKUP(J249,Containers!$A$5:$F$60,6,FALSE()),L249)&lt;&gt;L249),"Destination differs from container. ","")&amp;IF(AND(K249&lt;&gt;"",L249&lt;&gt;"",IFERROR(VLOOKUP(K249,Vehicles!$A$5:$F$60,6,FALSE()),L249)&lt;&gt;L249),"Destination differs from vehicle. ","")&amp;IF(AND(H249="Stay",OR(J249&lt;&gt;"",K249&lt;&gt;"",L249&lt;&gt;"")),"Marked Stay but has a container/vehicle/destination. ","")&amp;IF(G249="Missing","Reported missing. ","")&amp;IF(AND(P249&lt;&gt;"",N(P249)&lt;0),"Service overdue. ","")))</f>
        <v/>
      </c>
      <c r="S249" s="17" t="str">
        <f aca="false">IF(A249="","",IF(CHOOSE(MATCH(Find!$C$4,Lists!$K$2:$K$7,0),F249,E249,J249,K249,L249,G249)=Find!$C$5,MAX(S$4:S248)+1,""))</f>
        <v/>
      </c>
      <c r="T249" s="17" t="str">
        <f aca="false">IF(A249="","",IF(OR(J249=Manifest!$C$4,K249=Manifest!$C$4),MAX(T$4:T248)+1,""))</f>
        <v/>
      </c>
    </row>
    <row r="250" customFormat="false" ht="15" hidden="false" customHeight="false" outlineLevel="0" collapsed="false">
      <c r="C250" s="14"/>
      <c r="E250" s="14"/>
      <c r="F250" s="14"/>
      <c r="G250" s="14"/>
      <c r="H250" s="14"/>
      <c r="M250" s="12"/>
      <c r="O250" s="15" t="str">
        <f aca="false">IF(OR(M250="",N250=""),"",M250+N250)</f>
        <v/>
      </c>
      <c r="P250" s="16" t="str">
        <f aca="true">IF(O250="","",O250-TODAY())</f>
        <v/>
      </c>
      <c r="Q250" s="17" t="str">
        <f aca="false">IF(A250="","",TRIM(IF(E250="","No owner. ","")&amp;IF(F250="","No storage location. ","")&amp;IF(D250="","Serial missing. ","")&amp;IF(OR(H250="",H250="Undecided"),"No disposition. ","")&amp;IF(AND(H250="Ship",J250="",K250=""),"Shipping but no container/vehicle. ","")&amp;IF(AND(J250&lt;&gt;"",K250&lt;&gt;""),"In both a container and a vehicle. ","")&amp;IF(AND(H250="Ship",L250=""),"No destination. ","")&amp;IF(AND(J250&lt;&gt;"",L250&lt;&gt;"",IFERROR(VLOOKUP(J250,Containers!$A$5:$F$60,6,FALSE()),L250)&lt;&gt;L250),"Destination differs from container. ","")&amp;IF(AND(K250&lt;&gt;"",L250&lt;&gt;"",IFERROR(VLOOKUP(K250,Vehicles!$A$5:$F$60,6,FALSE()),L250)&lt;&gt;L250),"Destination differs from vehicle. ","")&amp;IF(AND(H250="Stay",OR(J250&lt;&gt;"",K250&lt;&gt;"",L250&lt;&gt;"")),"Marked Stay but has a container/vehicle/destination. ","")&amp;IF(G250="Missing","Reported missing. ","")&amp;IF(AND(P250&lt;&gt;"",N(P250)&lt;0),"Service overdue. ","")))</f>
        <v/>
      </c>
      <c r="S250" s="17" t="str">
        <f aca="false">IF(A250="","",IF(CHOOSE(MATCH(Find!$C$4,Lists!$K$2:$K$7,0),F250,E250,J250,K250,L250,G250)=Find!$C$5,MAX(S$4:S249)+1,""))</f>
        <v/>
      </c>
      <c r="T250" s="17" t="str">
        <f aca="false">IF(A250="","",IF(OR(J250=Manifest!$C$4,K250=Manifest!$C$4),MAX(T$4:T249)+1,""))</f>
        <v/>
      </c>
    </row>
    <row r="251" customFormat="false" ht="15" hidden="false" customHeight="false" outlineLevel="0" collapsed="false">
      <c r="C251" s="14"/>
      <c r="E251" s="14"/>
      <c r="F251" s="14"/>
      <c r="G251" s="14"/>
      <c r="H251" s="14"/>
      <c r="M251" s="12"/>
      <c r="O251" s="15" t="str">
        <f aca="false">IF(OR(M251="",N251=""),"",M251+N251)</f>
        <v/>
      </c>
      <c r="P251" s="16" t="str">
        <f aca="true">IF(O251="","",O251-TODAY())</f>
        <v/>
      </c>
      <c r="Q251" s="17" t="str">
        <f aca="false">IF(A251="","",TRIM(IF(E251="","No owner. ","")&amp;IF(F251="","No storage location. ","")&amp;IF(D251="","Serial missing. ","")&amp;IF(OR(H251="",H251="Undecided"),"No disposition. ","")&amp;IF(AND(H251="Ship",J251="",K251=""),"Shipping but no container/vehicle. ","")&amp;IF(AND(J251&lt;&gt;"",K251&lt;&gt;""),"In both a container and a vehicle. ","")&amp;IF(AND(H251="Ship",L251=""),"No destination. ","")&amp;IF(AND(J251&lt;&gt;"",L251&lt;&gt;"",IFERROR(VLOOKUP(J251,Containers!$A$5:$F$60,6,FALSE()),L251)&lt;&gt;L251),"Destination differs from container. ","")&amp;IF(AND(K251&lt;&gt;"",L251&lt;&gt;"",IFERROR(VLOOKUP(K251,Vehicles!$A$5:$F$60,6,FALSE()),L251)&lt;&gt;L251),"Destination differs from vehicle. ","")&amp;IF(AND(H251="Stay",OR(J251&lt;&gt;"",K251&lt;&gt;"",L251&lt;&gt;"")),"Marked Stay but has a container/vehicle/destination. ","")&amp;IF(G251="Missing","Reported missing. ","")&amp;IF(AND(P251&lt;&gt;"",N(P251)&lt;0),"Service overdue. ","")))</f>
        <v/>
      </c>
      <c r="S251" s="17" t="str">
        <f aca="false">IF(A251="","",IF(CHOOSE(MATCH(Find!$C$4,Lists!$K$2:$K$7,0),F251,E251,J251,K251,L251,G251)=Find!$C$5,MAX(S$4:S250)+1,""))</f>
        <v/>
      </c>
      <c r="T251" s="17" t="str">
        <f aca="false">IF(A251="","",IF(OR(J251=Manifest!$C$4,K251=Manifest!$C$4),MAX(T$4:T250)+1,""))</f>
        <v/>
      </c>
    </row>
    <row r="252" customFormat="false" ht="15" hidden="false" customHeight="false" outlineLevel="0" collapsed="false">
      <c r="C252" s="14"/>
      <c r="E252" s="14"/>
      <c r="F252" s="14"/>
      <c r="G252" s="14"/>
      <c r="H252" s="14"/>
      <c r="M252" s="12"/>
      <c r="O252" s="15" t="str">
        <f aca="false">IF(OR(M252="",N252=""),"",M252+N252)</f>
        <v/>
      </c>
      <c r="P252" s="16" t="str">
        <f aca="true">IF(O252="","",O252-TODAY())</f>
        <v/>
      </c>
      <c r="Q252" s="17" t="str">
        <f aca="false">IF(A252="","",TRIM(IF(E252="","No owner. ","")&amp;IF(F252="","No storage location. ","")&amp;IF(D252="","Serial missing. ","")&amp;IF(OR(H252="",H252="Undecided"),"No disposition. ","")&amp;IF(AND(H252="Ship",J252="",K252=""),"Shipping but no container/vehicle. ","")&amp;IF(AND(J252&lt;&gt;"",K252&lt;&gt;""),"In both a container and a vehicle. ","")&amp;IF(AND(H252="Ship",L252=""),"No destination. ","")&amp;IF(AND(J252&lt;&gt;"",L252&lt;&gt;"",IFERROR(VLOOKUP(J252,Containers!$A$5:$F$60,6,FALSE()),L252)&lt;&gt;L252),"Destination differs from container. ","")&amp;IF(AND(K252&lt;&gt;"",L252&lt;&gt;"",IFERROR(VLOOKUP(K252,Vehicles!$A$5:$F$60,6,FALSE()),L252)&lt;&gt;L252),"Destination differs from vehicle. ","")&amp;IF(AND(H252="Stay",OR(J252&lt;&gt;"",K252&lt;&gt;"",L252&lt;&gt;"")),"Marked Stay but has a container/vehicle/destination. ","")&amp;IF(G252="Missing","Reported missing. ","")&amp;IF(AND(P252&lt;&gt;"",N(P252)&lt;0),"Service overdue. ","")))</f>
        <v/>
      </c>
      <c r="S252" s="17" t="str">
        <f aca="false">IF(A252="","",IF(CHOOSE(MATCH(Find!$C$4,Lists!$K$2:$K$7,0),F252,E252,J252,K252,L252,G252)=Find!$C$5,MAX(S$4:S251)+1,""))</f>
        <v/>
      </c>
      <c r="T252" s="17" t="str">
        <f aca="false">IF(A252="","",IF(OR(J252=Manifest!$C$4,K252=Manifest!$C$4),MAX(T$4:T251)+1,""))</f>
        <v/>
      </c>
    </row>
    <row r="253" customFormat="false" ht="15" hidden="false" customHeight="false" outlineLevel="0" collapsed="false">
      <c r="C253" s="14"/>
      <c r="E253" s="14"/>
      <c r="F253" s="14"/>
      <c r="G253" s="14"/>
      <c r="H253" s="14"/>
      <c r="M253" s="12"/>
      <c r="O253" s="15" t="str">
        <f aca="false">IF(OR(M253="",N253=""),"",M253+N253)</f>
        <v/>
      </c>
      <c r="P253" s="16" t="str">
        <f aca="true">IF(O253="","",O253-TODAY())</f>
        <v/>
      </c>
      <c r="Q253" s="17" t="str">
        <f aca="false">IF(A253="","",TRIM(IF(E253="","No owner. ","")&amp;IF(F253="","No storage location. ","")&amp;IF(D253="","Serial missing. ","")&amp;IF(OR(H253="",H253="Undecided"),"No disposition. ","")&amp;IF(AND(H253="Ship",J253="",K253=""),"Shipping but no container/vehicle. ","")&amp;IF(AND(J253&lt;&gt;"",K253&lt;&gt;""),"In both a container and a vehicle. ","")&amp;IF(AND(H253="Ship",L253=""),"No destination. ","")&amp;IF(AND(J253&lt;&gt;"",L253&lt;&gt;"",IFERROR(VLOOKUP(J253,Containers!$A$5:$F$60,6,FALSE()),L253)&lt;&gt;L253),"Destination differs from container. ","")&amp;IF(AND(K253&lt;&gt;"",L253&lt;&gt;"",IFERROR(VLOOKUP(K253,Vehicles!$A$5:$F$60,6,FALSE()),L253)&lt;&gt;L253),"Destination differs from vehicle. ","")&amp;IF(AND(H253="Stay",OR(J253&lt;&gt;"",K253&lt;&gt;"",L253&lt;&gt;"")),"Marked Stay but has a container/vehicle/destination. ","")&amp;IF(G253="Missing","Reported missing. ","")&amp;IF(AND(P253&lt;&gt;"",N(P253)&lt;0),"Service overdue. ","")))</f>
        <v/>
      </c>
      <c r="S253" s="17" t="str">
        <f aca="false">IF(A253="","",IF(CHOOSE(MATCH(Find!$C$4,Lists!$K$2:$K$7,0),F253,E253,J253,K253,L253,G253)=Find!$C$5,MAX(S$4:S252)+1,""))</f>
        <v/>
      </c>
      <c r="T253" s="17" t="str">
        <f aca="false">IF(A253="","",IF(OR(J253=Manifest!$C$4,K253=Manifest!$C$4),MAX(T$4:T252)+1,""))</f>
        <v/>
      </c>
    </row>
    <row r="254" customFormat="false" ht="15" hidden="false" customHeight="false" outlineLevel="0" collapsed="false">
      <c r="C254" s="14"/>
      <c r="E254" s="14"/>
      <c r="F254" s="14"/>
      <c r="G254" s="14"/>
      <c r="H254" s="14"/>
      <c r="M254" s="12"/>
      <c r="O254" s="15" t="str">
        <f aca="false">IF(OR(M254="",N254=""),"",M254+N254)</f>
        <v/>
      </c>
      <c r="P254" s="16" t="str">
        <f aca="true">IF(O254="","",O254-TODAY())</f>
        <v/>
      </c>
      <c r="Q254" s="17" t="str">
        <f aca="false">IF(A254="","",TRIM(IF(E254="","No owner. ","")&amp;IF(F254="","No storage location. ","")&amp;IF(D254="","Serial missing. ","")&amp;IF(OR(H254="",H254="Undecided"),"No disposition. ","")&amp;IF(AND(H254="Ship",J254="",K254=""),"Shipping but no container/vehicle. ","")&amp;IF(AND(J254&lt;&gt;"",K254&lt;&gt;""),"In both a container and a vehicle. ","")&amp;IF(AND(H254="Ship",L254=""),"No destination. ","")&amp;IF(AND(J254&lt;&gt;"",L254&lt;&gt;"",IFERROR(VLOOKUP(J254,Containers!$A$5:$F$60,6,FALSE()),L254)&lt;&gt;L254),"Destination differs from container. ","")&amp;IF(AND(K254&lt;&gt;"",L254&lt;&gt;"",IFERROR(VLOOKUP(K254,Vehicles!$A$5:$F$60,6,FALSE()),L254)&lt;&gt;L254),"Destination differs from vehicle. ","")&amp;IF(AND(H254="Stay",OR(J254&lt;&gt;"",K254&lt;&gt;"",L254&lt;&gt;"")),"Marked Stay but has a container/vehicle/destination. ","")&amp;IF(G254="Missing","Reported missing. ","")&amp;IF(AND(P254&lt;&gt;"",N(P254)&lt;0),"Service overdue. ","")))</f>
        <v/>
      </c>
      <c r="S254" s="17" t="str">
        <f aca="false">IF(A254="","",IF(CHOOSE(MATCH(Find!$C$4,Lists!$K$2:$K$7,0),F254,E254,J254,K254,L254,G254)=Find!$C$5,MAX(S$4:S253)+1,""))</f>
        <v/>
      </c>
      <c r="T254" s="17" t="str">
        <f aca="false">IF(A254="","",IF(OR(J254=Manifest!$C$4,K254=Manifest!$C$4),MAX(T$4:T253)+1,""))</f>
        <v/>
      </c>
    </row>
    <row r="255" customFormat="false" ht="15" hidden="false" customHeight="false" outlineLevel="0" collapsed="false">
      <c r="C255" s="14"/>
      <c r="E255" s="14"/>
      <c r="F255" s="14"/>
      <c r="G255" s="14"/>
      <c r="H255" s="14"/>
      <c r="M255" s="12"/>
      <c r="O255" s="15" t="str">
        <f aca="false">IF(OR(M255="",N255=""),"",M255+N255)</f>
        <v/>
      </c>
      <c r="P255" s="16" t="str">
        <f aca="true">IF(O255="","",O255-TODAY())</f>
        <v/>
      </c>
      <c r="Q255" s="17" t="str">
        <f aca="false">IF(A255="","",TRIM(IF(E255="","No owner. ","")&amp;IF(F255="","No storage location. ","")&amp;IF(D255="","Serial missing. ","")&amp;IF(OR(H255="",H255="Undecided"),"No disposition. ","")&amp;IF(AND(H255="Ship",J255="",K255=""),"Shipping but no container/vehicle. ","")&amp;IF(AND(J255&lt;&gt;"",K255&lt;&gt;""),"In both a container and a vehicle. ","")&amp;IF(AND(H255="Ship",L255=""),"No destination. ","")&amp;IF(AND(J255&lt;&gt;"",L255&lt;&gt;"",IFERROR(VLOOKUP(J255,Containers!$A$5:$F$60,6,FALSE()),L255)&lt;&gt;L255),"Destination differs from container. ","")&amp;IF(AND(K255&lt;&gt;"",L255&lt;&gt;"",IFERROR(VLOOKUP(K255,Vehicles!$A$5:$F$60,6,FALSE()),L255)&lt;&gt;L255),"Destination differs from vehicle. ","")&amp;IF(AND(H255="Stay",OR(J255&lt;&gt;"",K255&lt;&gt;"",L255&lt;&gt;"")),"Marked Stay but has a container/vehicle/destination. ","")&amp;IF(G255="Missing","Reported missing. ","")&amp;IF(AND(P255&lt;&gt;"",N(P255)&lt;0),"Service overdue. ","")))</f>
        <v/>
      </c>
      <c r="S255" s="17" t="str">
        <f aca="false">IF(A255="","",IF(CHOOSE(MATCH(Find!$C$4,Lists!$K$2:$K$7,0),F255,E255,J255,K255,L255,G255)=Find!$C$5,MAX(S$4:S254)+1,""))</f>
        <v/>
      </c>
      <c r="T255" s="17" t="str">
        <f aca="false">IF(A255="","",IF(OR(J255=Manifest!$C$4,K255=Manifest!$C$4),MAX(T$4:T254)+1,""))</f>
        <v/>
      </c>
    </row>
    <row r="256" customFormat="false" ht="15" hidden="false" customHeight="false" outlineLevel="0" collapsed="false">
      <c r="C256" s="14"/>
      <c r="E256" s="14"/>
      <c r="F256" s="14"/>
      <c r="G256" s="14"/>
      <c r="H256" s="14"/>
      <c r="M256" s="12"/>
      <c r="O256" s="15" t="str">
        <f aca="false">IF(OR(M256="",N256=""),"",M256+N256)</f>
        <v/>
      </c>
      <c r="P256" s="16" t="str">
        <f aca="true">IF(O256="","",O256-TODAY())</f>
        <v/>
      </c>
      <c r="Q256" s="17" t="str">
        <f aca="false">IF(A256="","",TRIM(IF(E256="","No owner. ","")&amp;IF(F256="","No storage location. ","")&amp;IF(D256="","Serial missing. ","")&amp;IF(OR(H256="",H256="Undecided"),"No disposition. ","")&amp;IF(AND(H256="Ship",J256="",K256=""),"Shipping but no container/vehicle. ","")&amp;IF(AND(J256&lt;&gt;"",K256&lt;&gt;""),"In both a container and a vehicle. ","")&amp;IF(AND(H256="Ship",L256=""),"No destination. ","")&amp;IF(AND(J256&lt;&gt;"",L256&lt;&gt;"",IFERROR(VLOOKUP(J256,Containers!$A$5:$F$60,6,FALSE()),L256)&lt;&gt;L256),"Destination differs from container. ","")&amp;IF(AND(K256&lt;&gt;"",L256&lt;&gt;"",IFERROR(VLOOKUP(K256,Vehicles!$A$5:$F$60,6,FALSE()),L256)&lt;&gt;L256),"Destination differs from vehicle. ","")&amp;IF(AND(H256="Stay",OR(J256&lt;&gt;"",K256&lt;&gt;"",L256&lt;&gt;"")),"Marked Stay but has a container/vehicle/destination. ","")&amp;IF(G256="Missing","Reported missing. ","")&amp;IF(AND(P256&lt;&gt;"",N(P256)&lt;0),"Service overdue. ","")))</f>
        <v/>
      </c>
      <c r="S256" s="17" t="str">
        <f aca="false">IF(A256="","",IF(CHOOSE(MATCH(Find!$C$4,Lists!$K$2:$K$7,0),F256,E256,J256,K256,L256,G256)=Find!$C$5,MAX(S$4:S255)+1,""))</f>
        <v/>
      </c>
      <c r="T256" s="17" t="str">
        <f aca="false">IF(A256="","",IF(OR(J256=Manifest!$C$4,K256=Manifest!$C$4),MAX(T$4:T255)+1,""))</f>
        <v/>
      </c>
    </row>
    <row r="257" customFormat="false" ht="15" hidden="false" customHeight="false" outlineLevel="0" collapsed="false">
      <c r="C257" s="14"/>
      <c r="E257" s="14"/>
      <c r="F257" s="14"/>
      <c r="G257" s="14"/>
      <c r="H257" s="14"/>
      <c r="M257" s="12"/>
      <c r="O257" s="15" t="str">
        <f aca="false">IF(OR(M257="",N257=""),"",M257+N257)</f>
        <v/>
      </c>
      <c r="P257" s="16" t="str">
        <f aca="true">IF(O257="","",O257-TODAY())</f>
        <v/>
      </c>
      <c r="Q257" s="17" t="str">
        <f aca="false">IF(A257="","",TRIM(IF(E257="","No owner. ","")&amp;IF(F257="","No storage location. ","")&amp;IF(D257="","Serial missing. ","")&amp;IF(OR(H257="",H257="Undecided"),"No disposition. ","")&amp;IF(AND(H257="Ship",J257="",K257=""),"Shipping but no container/vehicle. ","")&amp;IF(AND(J257&lt;&gt;"",K257&lt;&gt;""),"In both a container and a vehicle. ","")&amp;IF(AND(H257="Ship",L257=""),"No destination. ","")&amp;IF(AND(J257&lt;&gt;"",L257&lt;&gt;"",IFERROR(VLOOKUP(J257,Containers!$A$5:$F$60,6,FALSE()),L257)&lt;&gt;L257),"Destination differs from container. ","")&amp;IF(AND(K257&lt;&gt;"",L257&lt;&gt;"",IFERROR(VLOOKUP(K257,Vehicles!$A$5:$F$60,6,FALSE()),L257)&lt;&gt;L257),"Destination differs from vehicle. ","")&amp;IF(AND(H257="Stay",OR(J257&lt;&gt;"",K257&lt;&gt;"",L257&lt;&gt;"")),"Marked Stay but has a container/vehicle/destination. ","")&amp;IF(G257="Missing","Reported missing. ","")&amp;IF(AND(P257&lt;&gt;"",N(P257)&lt;0),"Service overdue. ","")))</f>
        <v/>
      </c>
      <c r="S257" s="17" t="str">
        <f aca="false">IF(A257="","",IF(CHOOSE(MATCH(Find!$C$4,Lists!$K$2:$K$7,0),F257,E257,J257,K257,L257,G257)=Find!$C$5,MAX(S$4:S256)+1,""))</f>
        <v/>
      </c>
      <c r="T257" s="17" t="str">
        <f aca="false">IF(A257="","",IF(OR(J257=Manifest!$C$4,K257=Manifest!$C$4),MAX(T$4:T256)+1,""))</f>
        <v/>
      </c>
    </row>
    <row r="258" customFormat="false" ht="15" hidden="false" customHeight="false" outlineLevel="0" collapsed="false">
      <c r="C258" s="14"/>
      <c r="E258" s="14"/>
      <c r="F258" s="14"/>
      <c r="G258" s="14"/>
      <c r="H258" s="14"/>
      <c r="M258" s="12"/>
      <c r="O258" s="15" t="str">
        <f aca="false">IF(OR(M258="",N258=""),"",M258+N258)</f>
        <v/>
      </c>
      <c r="P258" s="16" t="str">
        <f aca="true">IF(O258="","",O258-TODAY())</f>
        <v/>
      </c>
      <c r="Q258" s="17" t="str">
        <f aca="false">IF(A258="","",TRIM(IF(E258="","No owner. ","")&amp;IF(F258="","No storage location. ","")&amp;IF(D258="","Serial missing. ","")&amp;IF(OR(H258="",H258="Undecided"),"No disposition. ","")&amp;IF(AND(H258="Ship",J258="",K258=""),"Shipping but no container/vehicle. ","")&amp;IF(AND(J258&lt;&gt;"",K258&lt;&gt;""),"In both a container and a vehicle. ","")&amp;IF(AND(H258="Ship",L258=""),"No destination. ","")&amp;IF(AND(J258&lt;&gt;"",L258&lt;&gt;"",IFERROR(VLOOKUP(J258,Containers!$A$5:$F$60,6,FALSE()),L258)&lt;&gt;L258),"Destination differs from container. ","")&amp;IF(AND(K258&lt;&gt;"",L258&lt;&gt;"",IFERROR(VLOOKUP(K258,Vehicles!$A$5:$F$60,6,FALSE()),L258)&lt;&gt;L258),"Destination differs from vehicle. ","")&amp;IF(AND(H258="Stay",OR(J258&lt;&gt;"",K258&lt;&gt;"",L258&lt;&gt;"")),"Marked Stay but has a container/vehicle/destination. ","")&amp;IF(G258="Missing","Reported missing. ","")&amp;IF(AND(P258&lt;&gt;"",N(P258)&lt;0),"Service overdue. ","")))</f>
        <v/>
      </c>
      <c r="S258" s="17" t="str">
        <f aca="false">IF(A258="","",IF(CHOOSE(MATCH(Find!$C$4,Lists!$K$2:$K$7,0),F258,E258,J258,K258,L258,G258)=Find!$C$5,MAX(S$4:S257)+1,""))</f>
        <v/>
      </c>
      <c r="T258" s="17" t="str">
        <f aca="false">IF(A258="","",IF(OR(J258=Manifest!$C$4,K258=Manifest!$C$4),MAX(T$4:T257)+1,""))</f>
        <v/>
      </c>
    </row>
    <row r="259" customFormat="false" ht="15" hidden="false" customHeight="false" outlineLevel="0" collapsed="false">
      <c r="C259" s="14"/>
      <c r="E259" s="14"/>
      <c r="F259" s="14"/>
      <c r="G259" s="14"/>
      <c r="H259" s="14"/>
      <c r="M259" s="12"/>
      <c r="O259" s="15" t="str">
        <f aca="false">IF(OR(M259="",N259=""),"",M259+N259)</f>
        <v/>
      </c>
      <c r="P259" s="16" t="str">
        <f aca="true">IF(O259="","",O259-TODAY())</f>
        <v/>
      </c>
      <c r="Q259" s="17" t="str">
        <f aca="false">IF(A259="","",TRIM(IF(E259="","No owner. ","")&amp;IF(F259="","No storage location. ","")&amp;IF(D259="","Serial missing. ","")&amp;IF(OR(H259="",H259="Undecided"),"No disposition. ","")&amp;IF(AND(H259="Ship",J259="",K259=""),"Shipping but no container/vehicle. ","")&amp;IF(AND(J259&lt;&gt;"",K259&lt;&gt;""),"In both a container and a vehicle. ","")&amp;IF(AND(H259="Ship",L259=""),"No destination. ","")&amp;IF(AND(J259&lt;&gt;"",L259&lt;&gt;"",IFERROR(VLOOKUP(J259,Containers!$A$5:$F$60,6,FALSE()),L259)&lt;&gt;L259),"Destination differs from container. ","")&amp;IF(AND(K259&lt;&gt;"",L259&lt;&gt;"",IFERROR(VLOOKUP(K259,Vehicles!$A$5:$F$60,6,FALSE()),L259)&lt;&gt;L259),"Destination differs from vehicle. ","")&amp;IF(AND(H259="Stay",OR(J259&lt;&gt;"",K259&lt;&gt;"",L259&lt;&gt;"")),"Marked Stay but has a container/vehicle/destination. ","")&amp;IF(G259="Missing","Reported missing. ","")&amp;IF(AND(P259&lt;&gt;"",N(P259)&lt;0),"Service overdue. ","")))</f>
        <v/>
      </c>
      <c r="S259" s="17" t="str">
        <f aca="false">IF(A259="","",IF(CHOOSE(MATCH(Find!$C$4,Lists!$K$2:$K$7,0),F259,E259,J259,K259,L259,G259)=Find!$C$5,MAX(S$4:S258)+1,""))</f>
        <v/>
      </c>
      <c r="T259" s="17" t="str">
        <f aca="false">IF(A259="","",IF(OR(J259=Manifest!$C$4,K259=Manifest!$C$4),MAX(T$4:T258)+1,""))</f>
        <v/>
      </c>
    </row>
    <row r="260" customFormat="false" ht="15" hidden="false" customHeight="false" outlineLevel="0" collapsed="false">
      <c r="C260" s="14"/>
      <c r="E260" s="14"/>
      <c r="F260" s="14"/>
      <c r="G260" s="14"/>
      <c r="H260" s="14"/>
      <c r="M260" s="12"/>
      <c r="O260" s="15" t="str">
        <f aca="false">IF(OR(M260="",N260=""),"",M260+N260)</f>
        <v/>
      </c>
      <c r="P260" s="16" t="str">
        <f aca="true">IF(O260="","",O260-TODAY())</f>
        <v/>
      </c>
      <c r="Q260" s="17" t="str">
        <f aca="false">IF(A260="","",TRIM(IF(E260="","No owner. ","")&amp;IF(F260="","No storage location. ","")&amp;IF(D260="","Serial missing. ","")&amp;IF(OR(H260="",H260="Undecided"),"No disposition. ","")&amp;IF(AND(H260="Ship",J260="",K260=""),"Shipping but no container/vehicle. ","")&amp;IF(AND(J260&lt;&gt;"",K260&lt;&gt;""),"In both a container and a vehicle. ","")&amp;IF(AND(H260="Ship",L260=""),"No destination. ","")&amp;IF(AND(J260&lt;&gt;"",L260&lt;&gt;"",IFERROR(VLOOKUP(J260,Containers!$A$5:$F$60,6,FALSE()),L260)&lt;&gt;L260),"Destination differs from container. ","")&amp;IF(AND(K260&lt;&gt;"",L260&lt;&gt;"",IFERROR(VLOOKUP(K260,Vehicles!$A$5:$F$60,6,FALSE()),L260)&lt;&gt;L260),"Destination differs from vehicle. ","")&amp;IF(AND(H260="Stay",OR(J260&lt;&gt;"",K260&lt;&gt;"",L260&lt;&gt;"")),"Marked Stay but has a container/vehicle/destination. ","")&amp;IF(G260="Missing","Reported missing. ","")&amp;IF(AND(P260&lt;&gt;"",N(P260)&lt;0),"Service overdue. ","")))</f>
        <v/>
      </c>
      <c r="S260" s="17" t="str">
        <f aca="false">IF(A260="","",IF(CHOOSE(MATCH(Find!$C$4,Lists!$K$2:$K$7,0),F260,E260,J260,K260,L260,G260)=Find!$C$5,MAX(S$4:S259)+1,""))</f>
        <v/>
      </c>
      <c r="T260" s="17" t="str">
        <f aca="false">IF(A260="","",IF(OR(J260=Manifest!$C$4,K260=Manifest!$C$4),MAX(T$4:T259)+1,""))</f>
        <v/>
      </c>
    </row>
    <row r="261" customFormat="false" ht="15" hidden="false" customHeight="false" outlineLevel="0" collapsed="false">
      <c r="C261" s="14"/>
      <c r="E261" s="14"/>
      <c r="F261" s="14"/>
      <c r="G261" s="14"/>
      <c r="H261" s="14"/>
      <c r="M261" s="12"/>
      <c r="O261" s="15" t="str">
        <f aca="false">IF(OR(M261="",N261=""),"",M261+N261)</f>
        <v/>
      </c>
      <c r="P261" s="16" t="str">
        <f aca="true">IF(O261="","",O261-TODAY())</f>
        <v/>
      </c>
      <c r="Q261" s="17" t="str">
        <f aca="false">IF(A261="","",TRIM(IF(E261="","No owner. ","")&amp;IF(F261="","No storage location. ","")&amp;IF(D261="","Serial missing. ","")&amp;IF(OR(H261="",H261="Undecided"),"No disposition. ","")&amp;IF(AND(H261="Ship",J261="",K261=""),"Shipping but no container/vehicle. ","")&amp;IF(AND(J261&lt;&gt;"",K261&lt;&gt;""),"In both a container and a vehicle. ","")&amp;IF(AND(H261="Ship",L261=""),"No destination. ","")&amp;IF(AND(J261&lt;&gt;"",L261&lt;&gt;"",IFERROR(VLOOKUP(J261,Containers!$A$5:$F$60,6,FALSE()),L261)&lt;&gt;L261),"Destination differs from container. ","")&amp;IF(AND(K261&lt;&gt;"",L261&lt;&gt;"",IFERROR(VLOOKUP(K261,Vehicles!$A$5:$F$60,6,FALSE()),L261)&lt;&gt;L261),"Destination differs from vehicle. ","")&amp;IF(AND(H261="Stay",OR(J261&lt;&gt;"",K261&lt;&gt;"",L261&lt;&gt;"")),"Marked Stay but has a container/vehicle/destination. ","")&amp;IF(G261="Missing","Reported missing. ","")&amp;IF(AND(P261&lt;&gt;"",N(P261)&lt;0),"Service overdue. ","")))</f>
        <v/>
      </c>
      <c r="S261" s="17" t="str">
        <f aca="false">IF(A261="","",IF(CHOOSE(MATCH(Find!$C$4,Lists!$K$2:$K$7,0),F261,E261,J261,K261,L261,G261)=Find!$C$5,MAX(S$4:S260)+1,""))</f>
        <v/>
      </c>
      <c r="T261" s="17" t="str">
        <f aca="false">IF(A261="","",IF(OR(J261=Manifest!$C$4,K261=Manifest!$C$4),MAX(T$4:T260)+1,""))</f>
        <v/>
      </c>
    </row>
    <row r="262" customFormat="false" ht="15" hidden="false" customHeight="false" outlineLevel="0" collapsed="false">
      <c r="C262" s="14"/>
      <c r="E262" s="14"/>
      <c r="F262" s="14"/>
      <c r="G262" s="14"/>
      <c r="H262" s="14"/>
      <c r="M262" s="12"/>
      <c r="O262" s="15" t="str">
        <f aca="false">IF(OR(M262="",N262=""),"",M262+N262)</f>
        <v/>
      </c>
      <c r="P262" s="16" t="str">
        <f aca="true">IF(O262="","",O262-TODAY())</f>
        <v/>
      </c>
      <c r="Q262" s="17" t="str">
        <f aca="false">IF(A262="","",TRIM(IF(E262="","No owner. ","")&amp;IF(F262="","No storage location. ","")&amp;IF(D262="","Serial missing. ","")&amp;IF(OR(H262="",H262="Undecided"),"No disposition. ","")&amp;IF(AND(H262="Ship",J262="",K262=""),"Shipping but no container/vehicle. ","")&amp;IF(AND(J262&lt;&gt;"",K262&lt;&gt;""),"In both a container and a vehicle. ","")&amp;IF(AND(H262="Ship",L262=""),"No destination. ","")&amp;IF(AND(J262&lt;&gt;"",L262&lt;&gt;"",IFERROR(VLOOKUP(J262,Containers!$A$5:$F$60,6,FALSE()),L262)&lt;&gt;L262),"Destination differs from container. ","")&amp;IF(AND(K262&lt;&gt;"",L262&lt;&gt;"",IFERROR(VLOOKUP(K262,Vehicles!$A$5:$F$60,6,FALSE()),L262)&lt;&gt;L262),"Destination differs from vehicle. ","")&amp;IF(AND(H262="Stay",OR(J262&lt;&gt;"",K262&lt;&gt;"",L262&lt;&gt;"")),"Marked Stay but has a container/vehicle/destination. ","")&amp;IF(G262="Missing","Reported missing. ","")&amp;IF(AND(P262&lt;&gt;"",N(P262)&lt;0),"Service overdue. ","")))</f>
        <v/>
      </c>
      <c r="S262" s="17" t="str">
        <f aca="false">IF(A262="","",IF(CHOOSE(MATCH(Find!$C$4,Lists!$K$2:$K$7,0),F262,E262,J262,K262,L262,G262)=Find!$C$5,MAX(S$4:S261)+1,""))</f>
        <v/>
      </c>
      <c r="T262" s="17" t="str">
        <f aca="false">IF(A262="","",IF(OR(J262=Manifest!$C$4,K262=Manifest!$C$4),MAX(T$4:T261)+1,""))</f>
        <v/>
      </c>
    </row>
    <row r="263" customFormat="false" ht="15" hidden="false" customHeight="false" outlineLevel="0" collapsed="false">
      <c r="C263" s="14"/>
      <c r="E263" s="14"/>
      <c r="F263" s="14"/>
      <c r="G263" s="14"/>
      <c r="H263" s="14"/>
      <c r="M263" s="12"/>
      <c r="O263" s="15" t="str">
        <f aca="false">IF(OR(M263="",N263=""),"",M263+N263)</f>
        <v/>
      </c>
      <c r="P263" s="16" t="str">
        <f aca="true">IF(O263="","",O263-TODAY())</f>
        <v/>
      </c>
      <c r="Q263" s="17" t="str">
        <f aca="false">IF(A263="","",TRIM(IF(E263="","No owner. ","")&amp;IF(F263="","No storage location. ","")&amp;IF(D263="","Serial missing. ","")&amp;IF(OR(H263="",H263="Undecided"),"No disposition. ","")&amp;IF(AND(H263="Ship",J263="",K263=""),"Shipping but no container/vehicle. ","")&amp;IF(AND(J263&lt;&gt;"",K263&lt;&gt;""),"In both a container and a vehicle. ","")&amp;IF(AND(H263="Ship",L263=""),"No destination. ","")&amp;IF(AND(J263&lt;&gt;"",L263&lt;&gt;"",IFERROR(VLOOKUP(J263,Containers!$A$5:$F$60,6,FALSE()),L263)&lt;&gt;L263),"Destination differs from container. ","")&amp;IF(AND(K263&lt;&gt;"",L263&lt;&gt;"",IFERROR(VLOOKUP(K263,Vehicles!$A$5:$F$60,6,FALSE()),L263)&lt;&gt;L263),"Destination differs from vehicle. ","")&amp;IF(AND(H263="Stay",OR(J263&lt;&gt;"",K263&lt;&gt;"",L263&lt;&gt;"")),"Marked Stay but has a container/vehicle/destination. ","")&amp;IF(G263="Missing","Reported missing. ","")&amp;IF(AND(P263&lt;&gt;"",N(P263)&lt;0),"Service overdue. ","")))</f>
        <v/>
      </c>
      <c r="S263" s="17" t="str">
        <f aca="false">IF(A263="","",IF(CHOOSE(MATCH(Find!$C$4,Lists!$K$2:$K$7,0),F263,E263,J263,K263,L263,G263)=Find!$C$5,MAX(S$4:S262)+1,""))</f>
        <v/>
      </c>
      <c r="T263" s="17" t="str">
        <f aca="false">IF(A263="","",IF(OR(J263=Manifest!$C$4,K263=Manifest!$C$4),MAX(T$4:T262)+1,""))</f>
        <v/>
      </c>
    </row>
    <row r="264" customFormat="false" ht="15" hidden="false" customHeight="false" outlineLevel="0" collapsed="false">
      <c r="C264" s="14"/>
      <c r="E264" s="14"/>
      <c r="F264" s="14"/>
      <c r="G264" s="14"/>
      <c r="H264" s="14"/>
      <c r="M264" s="12"/>
      <c r="O264" s="15" t="str">
        <f aca="false">IF(OR(M264="",N264=""),"",M264+N264)</f>
        <v/>
      </c>
      <c r="P264" s="16" t="str">
        <f aca="true">IF(O264="","",O264-TODAY())</f>
        <v/>
      </c>
      <c r="Q264" s="17" t="str">
        <f aca="false">IF(A264="","",TRIM(IF(E264="","No owner. ","")&amp;IF(F264="","No storage location. ","")&amp;IF(D264="","Serial missing. ","")&amp;IF(OR(H264="",H264="Undecided"),"No disposition. ","")&amp;IF(AND(H264="Ship",J264="",K264=""),"Shipping but no container/vehicle. ","")&amp;IF(AND(J264&lt;&gt;"",K264&lt;&gt;""),"In both a container and a vehicle. ","")&amp;IF(AND(H264="Ship",L264=""),"No destination. ","")&amp;IF(AND(J264&lt;&gt;"",L264&lt;&gt;"",IFERROR(VLOOKUP(J264,Containers!$A$5:$F$60,6,FALSE()),L264)&lt;&gt;L264),"Destination differs from container. ","")&amp;IF(AND(K264&lt;&gt;"",L264&lt;&gt;"",IFERROR(VLOOKUP(K264,Vehicles!$A$5:$F$60,6,FALSE()),L264)&lt;&gt;L264),"Destination differs from vehicle. ","")&amp;IF(AND(H264="Stay",OR(J264&lt;&gt;"",K264&lt;&gt;"",L264&lt;&gt;"")),"Marked Stay but has a container/vehicle/destination. ","")&amp;IF(G264="Missing","Reported missing. ","")&amp;IF(AND(P264&lt;&gt;"",N(P264)&lt;0),"Service overdue. ","")))</f>
        <v/>
      </c>
      <c r="S264" s="17" t="str">
        <f aca="false">IF(A264="","",IF(CHOOSE(MATCH(Find!$C$4,Lists!$K$2:$K$7,0),F264,E264,J264,K264,L264,G264)=Find!$C$5,MAX(S$4:S263)+1,""))</f>
        <v/>
      </c>
      <c r="T264" s="17" t="str">
        <f aca="false">IF(A264="","",IF(OR(J264=Manifest!$C$4,K264=Manifest!$C$4),MAX(T$4:T263)+1,""))</f>
        <v/>
      </c>
    </row>
    <row r="265" customFormat="false" ht="15" hidden="false" customHeight="false" outlineLevel="0" collapsed="false">
      <c r="C265" s="14"/>
      <c r="E265" s="14"/>
      <c r="F265" s="14"/>
      <c r="G265" s="14"/>
      <c r="H265" s="14"/>
      <c r="M265" s="12"/>
      <c r="O265" s="15" t="str">
        <f aca="false">IF(OR(M265="",N265=""),"",M265+N265)</f>
        <v/>
      </c>
      <c r="P265" s="16" t="str">
        <f aca="true">IF(O265="","",O265-TODAY())</f>
        <v/>
      </c>
      <c r="Q265" s="17" t="str">
        <f aca="false">IF(A265="","",TRIM(IF(E265="","No owner. ","")&amp;IF(F265="","No storage location. ","")&amp;IF(D265="","Serial missing. ","")&amp;IF(OR(H265="",H265="Undecided"),"No disposition. ","")&amp;IF(AND(H265="Ship",J265="",K265=""),"Shipping but no container/vehicle. ","")&amp;IF(AND(J265&lt;&gt;"",K265&lt;&gt;""),"In both a container and a vehicle. ","")&amp;IF(AND(H265="Ship",L265=""),"No destination. ","")&amp;IF(AND(J265&lt;&gt;"",L265&lt;&gt;"",IFERROR(VLOOKUP(J265,Containers!$A$5:$F$60,6,FALSE()),L265)&lt;&gt;L265),"Destination differs from container. ","")&amp;IF(AND(K265&lt;&gt;"",L265&lt;&gt;"",IFERROR(VLOOKUP(K265,Vehicles!$A$5:$F$60,6,FALSE()),L265)&lt;&gt;L265),"Destination differs from vehicle. ","")&amp;IF(AND(H265="Stay",OR(J265&lt;&gt;"",K265&lt;&gt;"",L265&lt;&gt;"")),"Marked Stay but has a container/vehicle/destination. ","")&amp;IF(G265="Missing","Reported missing. ","")&amp;IF(AND(P265&lt;&gt;"",N(P265)&lt;0),"Service overdue. ","")))</f>
        <v/>
      </c>
      <c r="S265" s="17" t="str">
        <f aca="false">IF(A265="","",IF(CHOOSE(MATCH(Find!$C$4,Lists!$K$2:$K$7,0),F265,E265,J265,K265,L265,G265)=Find!$C$5,MAX(S$4:S264)+1,""))</f>
        <v/>
      </c>
      <c r="T265" s="17" t="str">
        <f aca="false">IF(A265="","",IF(OR(J265=Manifest!$C$4,K265=Manifest!$C$4),MAX(T$4:T264)+1,""))</f>
        <v/>
      </c>
    </row>
    <row r="266" customFormat="false" ht="15" hidden="false" customHeight="false" outlineLevel="0" collapsed="false">
      <c r="C266" s="14"/>
      <c r="E266" s="14"/>
      <c r="F266" s="14"/>
      <c r="G266" s="14"/>
      <c r="H266" s="14"/>
      <c r="M266" s="12"/>
      <c r="O266" s="15" t="str">
        <f aca="false">IF(OR(M266="",N266=""),"",M266+N266)</f>
        <v/>
      </c>
      <c r="P266" s="16" t="str">
        <f aca="true">IF(O266="","",O266-TODAY())</f>
        <v/>
      </c>
      <c r="Q266" s="17" t="str">
        <f aca="false">IF(A266="","",TRIM(IF(E266="","No owner. ","")&amp;IF(F266="","No storage location. ","")&amp;IF(D266="","Serial missing. ","")&amp;IF(OR(H266="",H266="Undecided"),"No disposition. ","")&amp;IF(AND(H266="Ship",J266="",K266=""),"Shipping but no container/vehicle. ","")&amp;IF(AND(J266&lt;&gt;"",K266&lt;&gt;""),"In both a container and a vehicle. ","")&amp;IF(AND(H266="Ship",L266=""),"No destination. ","")&amp;IF(AND(J266&lt;&gt;"",L266&lt;&gt;"",IFERROR(VLOOKUP(J266,Containers!$A$5:$F$60,6,FALSE()),L266)&lt;&gt;L266),"Destination differs from container. ","")&amp;IF(AND(K266&lt;&gt;"",L266&lt;&gt;"",IFERROR(VLOOKUP(K266,Vehicles!$A$5:$F$60,6,FALSE()),L266)&lt;&gt;L266),"Destination differs from vehicle. ","")&amp;IF(AND(H266="Stay",OR(J266&lt;&gt;"",K266&lt;&gt;"",L266&lt;&gt;"")),"Marked Stay but has a container/vehicle/destination. ","")&amp;IF(G266="Missing","Reported missing. ","")&amp;IF(AND(P266&lt;&gt;"",N(P266)&lt;0),"Service overdue. ","")))</f>
        <v/>
      </c>
      <c r="S266" s="17" t="str">
        <f aca="false">IF(A266="","",IF(CHOOSE(MATCH(Find!$C$4,Lists!$K$2:$K$7,0),F266,E266,J266,K266,L266,G266)=Find!$C$5,MAX(S$4:S265)+1,""))</f>
        <v/>
      </c>
      <c r="T266" s="17" t="str">
        <f aca="false">IF(A266="","",IF(OR(J266=Manifest!$C$4,K266=Manifest!$C$4),MAX(T$4:T265)+1,""))</f>
        <v/>
      </c>
    </row>
    <row r="267" customFormat="false" ht="15" hidden="false" customHeight="false" outlineLevel="0" collapsed="false">
      <c r="C267" s="14"/>
      <c r="E267" s="14"/>
      <c r="F267" s="14"/>
      <c r="G267" s="14"/>
      <c r="H267" s="14"/>
      <c r="M267" s="12"/>
      <c r="O267" s="15" t="str">
        <f aca="false">IF(OR(M267="",N267=""),"",M267+N267)</f>
        <v/>
      </c>
      <c r="P267" s="16" t="str">
        <f aca="true">IF(O267="","",O267-TODAY())</f>
        <v/>
      </c>
      <c r="Q267" s="17" t="str">
        <f aca="false">IF(A267="","",TRIM(IF(E267="","No owner. ","")&amp;IF(F267="","No storage location. ","")&amp;IF(D267="","Serial missing. ","")&amp;IF(OR(H267="",H267="Undecided"),"No disposition. ","")&amp;IF(AND(H267="Ship",J267="",K267=""),"Shipping but no container/vehicle. ","")&amp;IF(AND(J267&lt;&gt;"",K267&lt;&gt;""),"In both a container and a vehicle. ","")&amp;IF(AND(H267="Ship",L267=""),"No destination. ","")&amp;IF(AND(J267&lt;&gt;"",L267&lt;&gt;"",IFERROR(VLOOKUP(J267,Containers!$A$5:$F$60,6,FALSE()),L267)&lt;&gt;L267),"Destination differs from container. ","")&amp;IF(AND(K267&lt;&gt;"",L267&lt;&gt;"",IFERROR(VLOOKUP(K267,Vehicles!$A$5:$F$60,6,FALSE()),L267)&lt;&gt;L267),"Destination differs from vehicle. ","")&amp;IF(AND(H267="Stay",OR(J267&lt;&gt;"",K267&lt;&gt;"",L267&lt;&gt;"")),"Marked Stay but has a container/vehicle/destination. ","")&amp;IF(G267="Missing","Reported missing. ","")&amp;IF(AND(P267&lt;&gt;"",N(P267)&lt;0),"Service overdue. ","")))</f>
        <v/>
      </c>
      <c r="S267" s="17" t="str">
        <f aca="false">IF(A267="","",IF(CHOOSE(MATCH(Find!$C$4,Lists!$K$2:$K$7,0),F267,E267,J267,K267,L267,G267)=Find!$C$5,MAX(S$4:S266)+1,""))</f>
        <v/>
      </c>
      <c r="T267" s="17" t="str">
        <f aca="false">IF(A267="","",IF(OR(J267=Manifest!$C$4,K267=Manifest!$C$4),MAX(T$4:T266)+1,""))</f>
        <v/>
      </c>
    </row>
    <row r="268" customFormat="false" ht="15" hidden="false" customHeight="false" outlineLevel="0" collapsed="false">
      <c r="C268" s="14"/>
      <c r="E268" s="14"/>
      <c r="F268" s="14"/>
      <c r="G268" s="14"/>
      <c r="H268" s="14"/>
      <c r="M268" s="12"/>
      <c r="O268" s="15" t="str">
        <f aca="false">IF(OR(M268="",N268=""),"",M268+N268)</f>
        <v/>
      </c>
      <c r="P268" s="16" t="str">
        <f aca="true">IF(O268="","",O268-TODAY())</f>
        <v/>
      </c>
      <c r="Q268" s="17" t="str">
        <f aca="false">IF(A268="","",TRIM(IF(E268="","No owner. ","")&amp;IF(F268="","No storage location. ","")&amp;IF(D268="","Serial missing. ","")&amp;IF(OR(H268="",H268="Undecided"),"No disposition. ","")&amp;IF(AND(H268="Ship",J268="",K268=""),"Shipping but no container/vehicle. ","")&amp;IF(AND(J268&lt;&gt;"",K268&lt;&gt;""),"In both a container and a vehicle. ","")&amp;IF(AND(H268="Ship",L268=""),"No destination. ","")&amp;IF(AND(J268&lt;&gt;"",L268&lt;&gt;"",IFERROR(VLOOKUP(J268,Containers!$A$5:$F$60,6,FALSE()),L268)&lt;&gt;L268),"Destination differs from container. ","")&amp;IF(AND(K268&lt;&gt;"",L268&lt;&gt;"",IFERROR(VLOOKUP(K268,Vehicles!$A$5:$F$60,6,FALSE()),L268)&lt;&gt;L268),"Destination differs from vehicle. ","")&amp;IF(AND(H268="Stay",OR(J268&lt;&gt;"",K268&lt;&gt;"",L268&lt;&gt;"")),"Marked Stay but has a container/vehicle/destination. ","")&amp;IF(G268="Missing","Reported missing. ","")&amp;IF(AND(P268&lt;&gt;"",N(P268)&lt;0),"Service overdue. ","")))</f>
        <v/>
      </c>
      <c r="S268" s="17" t="str">
        <f aca="false">IF(A268="","",IF(CHOOSE(MATCH(Find!$C$4,Lists!$K$2:$K$7,0),F268,E268,J268,K268,L268,G268)=Find!$C$5,MAX(S$4:S267)+1,""))</f>
        <v/>
      </c>
      <c r="T268" s="17" t="str">
        <f aca="false">IF(A268="","",IF(OR(J268=Manifest!$C$4,K268=Manifest!$C$4),MAX(T$4:T267)+1,""))</f>
        <v/>
      </c>
    </row>
    <row r="269" customFormat="false" ht="15" hidden="false" customHeight="false" outlineLevel="0" collapsed="false">
      <c r="C269" s="14"/>
      <c r="E269" s="14"/>
      <c r="F269" s="14"/>
      <c r="G269" s="14"/>
      <c r="H269" s="14"/>
      <c r="M269" s="12"/>
      <c r="O269" s="15" t="str">
        <f aca="false">IF(OR(M269="",N269=""),"",M269+N269)</f>
        <v/>
      </c>
      <c r="P269" s="16" t="str">
        <f aca="true">IF(O269="","",O269-TODAY())</f>
        <v/>
      </c>
      <c r="Q269" s="17" t="str">
        <f aca="false">IF(A269="","",TRIM(IF(E269="","No owner. ","")&amp;IF(F269="","No storage location. ","")&amp;IF(D269="","Serial missing. ","")&amp;IF(OR(H269="",H269="Undecided"),"No disposition. ","")&amp;IF(AND(H269="Ship",J269="",K269=""),"Shipping but no container/vehicle. ","")&amp;IF(AND(J269&lt;&gt;"",K269&lt;&gt;""),"In both a container and a vehicle. ","")&amp;IF(AND(H269="Ship",L269=""),"No destination. ","")&amp;IF(AND(J269&lt;&gt;"",L269&lt;&gt;"",IFERROR(VLOOKUP(J269,Containers!$A$5:$F$60,6,FALSE()),L269)&lt;&gt;L269),"Destination differs from container. ","")&amp;IF(AND(K269&lt;&gt;"",L269&lt;&gt;"",IFERROR(VLOOKUP(K269,Vehicles!$A$5:$F$60,6,FALSE()),L269)&lt;&gt;L269),"Destination differs from vehicle. ","")&amp;IF(AND(H269="Stay",OR(J269&lt;&gt;"",K269&lt;&gt;"",L269&lt;&gt;"")),"Marked Stay but has a container/vehicle/destination. ","")&amp;IF(G269="Missing","Reported missing. ","")&amp;IF(AND(P269&lt;&gt;"",N(P269)&lt;0),"Service overdue. ","")))</f>
        <v/>
      </c>
      <c r="S269" s="17" t="str">
        <f aca="false">IF(A269="","",IF(CHOOSE(MATCH(Find!$C$4,Lists!$K$2:$K$7,0),F269,E269,J269,K269,L269,G269)=Find!$C$5,MAX(S$4:S268)+1,""))</f>
        <v/>
      </c>
      <c r="T269" s="17" t="str">
        <f aca="false">IF(A269="","",IF(OR(J269=Manifest!$C$4,K269=Manifest!$C$4),MAX(T$4:T268)+1,""))</f>
        <v/>
      </c>
    </row>
    <row r="270" customFormat="false" ht="15" hidden="false" customHeight="false" outlineLevel="0" collapsed="false">
      <c r="C270" s="14"/>
      <c r="E270" s="14"/>
      <c r="F270" s="14"/>
      <c r="G270" s="14"/>
      <c r="H270" s="14"/>
      <c r="M270" s="12"/>
      <c r="O270" s="15" t="str">
        <f aca="false">IF(OR(M270="",N270=""),"",M270+N270)</f>
        <v/>
      </c>
      <c r="P270" s="16" t="str">
        <f aca="true">IF(O270="","",O270-TODAY())</f>
        <v/>
      </c>
      <c r="Q270" s="17" t="str">
        <f aca="false">IF(A270="","",TRIM(IF(E270="","No owner. ","")&amp;IF(F270="","No storage location. ","")&amp;IF(D270="","Serial missing. ","")&amp;IF(OR(H270="",H270="Undecided"),"No disposition. ","")&amp;IF(AND(H270="Ship",J270="",K270=""),"Shipping but no container/vehicle. ","")&amp;IF(AND(J270&lt;&gt;"",K270&lt;&gt;""),"In both a container and a vehicle. ","")&amp;IF(AND(H270="Ship",L270=""),"No destination. ","")&amp;IF(AND(J270&lt;&gt;"",L270&lt;&gt;"",IFERROR(VLOOKUP(J270,Containers!$A$5:$F$60,6,FALSE()),L270)&lt;&gt;L270),"Destination differs from container. ","")&amp;IF(AND(K270&lt;&gt;"",L270&lt;&gt;"",IFERROR(VLOOKUP(K270,Vehicles!$A$5:$F$60,6,FALSE()),L270)&lt;&gt;L270),"Destination differs from vehicle. ","")&amp;IF(AND(H270="Stay",OR(J270&lt;&gt;"",K270&lt;&gt;"",L270&lt;&gt;"")),"Marked Stay but has a container/vehicle/destination. ","")&amp;IF(G270="Missing","Reported missing. ","")&amp;IF(AND(P270&lt;&gt;"",N(P270)&lt;0),"Service overdue. ","")))</f>
        <v/>
      </c>
      <c r="S270" s="17" t="str">
        <f aca="false">IF(A270="","",IF(CHOOSE(MATCH(Find!$C$4,Lists!$K$2:$K$7,0),F270,E270,J270,K270,L270,G270)=Find!$C$5,MAX(S$4:S269)+1,""))</f>
        <v/>
      </c>
      <c r="T270" s="17" t="str">
        <f aca="false">IF(A270="","",IF(OR(J270=Manifest!$C$4,K270=Manifest!$C$4),MAX(T$4:T269)+1,""))</f>
        <v/>
      </c>
    </row>
    <row r="271" customFormat="false" ht="15" hidden="false" customHeight="false" outlineLevel="0" collapsed="false">
      <c r="C271" s="14"/>
      <c r="E271" s="14"/>
      <c r="F271" s="14"/>
      <c r="G271" s="14"/>
      <c r="H271" s="14"/>
      <c r="M271" s="12"/>
      <c r="O271" s="15" t="str">
        <f aca="false">IF(OR(M271="",N271=""),"",M271+N271)</f>
        <v/>
      </c>
      <c r="P271" s="16" t="str">
        <f aca="true">IF(O271="","",O271-TODAY())</f>
        <v/>
      </c>
      <c r="Q271" s="17" t="str">
        <f aca="false">IF(A271="","",TRIM(IF(E271="","No owner. ","")&amp;IF(F271="","No storage location. ","")&amp;IF(D271="","Serial missing. ","")&amp;IF(OR(H271="",H271="Undecided"),"No disposition. ","")&amp;IF(AND(H271="Ship",J271="",K271=""),"Shipping but no container/vehicle. ","")&amp;IF(AND(J271&lt;&gt;"",K271&lt;&gt;""),"In both a container and a vehicle. ","")&amp;IF(AND(H271="Ship",L271=""),"No destination. ","")&amp;IF(AND(J271&lt;&gt;"",L271&lt;&gt;"",IFERROR(VLOOKUP(J271,Containers!$A$5:$F$60,6,FALSE()),L271)&lt;&gt;L271),"Destination differs from container. ","")&amp;IF(AND(K271&lt;&gt;"",L271&lt;&gt;"",IFERROR(VLOOKUP(K271,Vehicles!$A$5:$F$60,6,FALSE()),L271)&lt;&gt;L271),"Destination differs from vehicle. ","")&amp;IF(AND(H271="Stay",OR(J271&lt;&gt;"",K271&lt;&gt;"",L271&lt;&gt;"")),"Marked Stay but has a container/vehicle/destination. ","")&amp;IF(G271="Missing","Reported missing. ","")&amp;IF(AND(P271&lt;&gt;"",N(P271)&lt;0),"Service overdue. ","")))</f>
        <v/>
      </c>
      <c r="S271" s="17" t="str">
        <f aca="false">IF(A271="","",IF(CHOOSE(MATCH(Find!$C$4,Lists!$K$2:$K$7,0),F271,E271,J271,K271,L271,G271)=Find!$C$5,MAX(S$4:S270)+1,""))</f>
        <v/>
      </c>
      <c r="T271" s="17" t="str">
        <f aca="false">IF(A271="","",IF(OR(J271=Manifest!$C$4,K271=Manifest!$C$4),MAX(T$4:T270)+1,""))</f>
        <v/>
      </c>
    </row>
    <row r="272" customFormat="false" ht="15" hidden="false" customHeight="false" outlineLevel="0" collapsed="false">
      <c r="C272" s="14"/>
      <c r="E272" s="14"/>
      <c r="F272" s="14"/>
      <c r="G272" s="14"/>
      <c r="H272" s="14"/>
      <c r="M272" s="12"/>
      <c r="O272" s="15" t="str">
        <f aca="false">IF(OR(M272="",N272=""),"",M272+N272)</f>
        <v/>
      </c>
      <c r="P272" s="16" t="str">
        <f aca="true">IF(O272="","",O272-TODAY())</f>
        <v/>
      </c>
      <c r="Q272" s="17" t="str">
        <f aca="false">IF(A272="","",TRIM(IF(E272="","No owner. ","")&amp;IF(F272="","No storage location. ","")&amp;IF(D272="","Serial missing. ","")&amp;IF(OR(H272="",H272="Undecided"),"No disposition. ","")&amp;IF(AND(H272="Ship",J272="",K272=""),"Shipping but no container/vehicle. ","")&amp;IF(AND(J272&lt;&gt;"",K272&lt;&gt;""),"In both a container and a vehicle. ","")&amp;IF(AND(H272="Ship",L272=""),"No destination. ","")&amp;IF(AND(J272&lt;&gt;"",L272&lt;&gt;"",IFERROR(VLOOKUP(J272,Containers!$A$5:$F$60,6,FALSE()),L272)&lt;&gt;L272),"Destination differs from container. ","")&amp;IF(AND(K272&lt;&gt;"",L272&lt;&gt;"",IFERROR(VLOOKUP(K272,Vehicles!$A$5:$F$60,6,FALSE()),L272)&lt;&gt;L272),"Destination differs from vehicle. ","")&amp;IF(AND(H272="Stay",OR(J272&lt;&gt;"",K272&lt;&gt;"",L272&lt;&gt;"")),"Marked Stay but has a container/vehicle/destination. ","")&amp;IF(G272="Missing","Reported missing. ","")&amp;IF(AND(P272&lt;&gt;"",N(P272)&lt;0),"Service overdue. ","")))</f>
        <v/>
      </c>
      <c r="S272" s="17" t="str">
        <f aca="false">IF(A272="","",IF(CHOOSE(MATCH(Find!$C$4,Lists!$K$2:$K$7,0),F272,E272,J272,K272,L272,G272)=Find!$C$5,MAX(S$4:S271)+1,""))</f>
        <v/>
      </c>
      <c r="T272" s="17" t="str">
        <f aca="false">IF(A272="","",IF(OR(J272=Manifest!$C$4,K272=Manifest!$C$4),MAX(T$4:T271)+1,""))</f>
        <v/>
      </c>
    </row>
    <row r="273" customFormat="false" ht="15" hidden="false" customHeight="false" outlineLevel="0" collapsed="false">
      <c r="C273" s="14"/>
      <c r="E273" s="14"/>
      <c r="F273" s="14"/>
      <c r="G273" s="14"/>
      <c r="H273" s="14"/>
      <c r="M273" s="12"/>
      <c r="O273" s="15" t="str">
        <f aca="false">IF(OR(M273="",N273=""),"",M273+N273)</f>
        <v/>
      </c>
      <c r="P273" s="16" t="str">
        <f aca="true">IF(O273="","",O273-TODAY())</f>
        <v/>
      </c>
      <c r="Q273" s="17" t="str">
        <f aca="false">IF(A273="","",TRIM(IF(E273="","No owner. ","")&amp;IF(F273="","No storage location. ","")&amp;IF(D273="","Serial missing. ","")&amp;IF(OR(H273="",H273="Undecided"),"No disposition. ","")&amp;IF(AND(H273="Ship",J273="",K273=""),"Shipping but no container/vehicle. ","")&amp;IF(AND(J273&lt;&gt;"",K273&lt;&gt;""),"In both a container and a vehicle. ","")&amp;IF(AND(H273="Ship",L273=""),"No destination. ","")&amp;IF(AND(J273&lt;&gt;"",L273&lt;&gt;"",IFERROR(VLOOKUP(J273,Containers!$A$5:$F$60,6,FALSE()),L273)&lt;&gt;L273),"Destination differs from container. ","")&amp;IF(AND(K273&lt;&gt;"",L273&lt;&gt;"",IFERROR(VLOOKUP(K273,Vehicles!$A$5:$F$60,6,FALSE()),L273)&lt;&gt;L273),"Destination differs from vehicle. ","")&amp;IF(AND(H273="Stay",OR(J273&lt;&gt;"",K273&lt;&gt;"",L273&lt;&gt;"")),"Marked Stay but has a container/vehicle/destination. ","")&amp;IF(G273="Missing","Reported missing. ","")&amp;IF(AND(P273&lt;&gt;"",N(P273)&lt;0),"Service overdue. ","")))</f>
        <v/>
      </c>
      <c r="S273" s="17" t="str">
        <f aca="false">IF(A273="","",IF(CHOOSE(MATCH(Find!$C$4,Lists!$K$2:$K$7,0),F273,E273,J273,K273,L273,G273)=Find!$C$5,MAX(S$4:S272)+1,""))</f>
        <v/>
      </c>
      <c r="T273" s="17" t="str">
        <f aca="false">IF(A273="","",IF(OR(J273=Manifest!$C$4,K273=Manifest!$C$4),MAX(T$4:T272)+1,""))</f>
        <v/>
      </c>
    </row>
    <row r="274" customFormat="false" ht="15" hidden="false" customHeight="false" outlineLevel="0" collapsed="false">
      <c r="C274" s="14"/>
      <c r="E274" s="14"/>
      <c r="F274" s="14"/>
      <c r="G274" s="14"/>
      <c r="H274" s="14"/>
      <c r="M274" s="12"/>
      <c r="O274" s="15" t="str">
        <f aca="false">IF(OR(M274="",N274=""),"",M274+N274)</f>
        <v/>
      </c>
      <c r="P274" s="16" t="str">
        <f aca="true">IF(O274="","",O274-TODAY())</f>
        <v/>
      </c>
      <c r="Q274" s="17" t="str">
        <f aca="false">IF(A274="","",TRIM(IF(E274="","No owner. ","")&amp;IF(F274="","No storage location. ","")&amp;IF(D274="","Serial missing. ","")&amp;IF(OR(H274="",H274="Undecided"),"No disposition. ","")&amp;IF(AND(H274="Ship",J274="",K274=""),"Shipping but no container/vehicle. ","")&amp;IF(AND(J274&lt;&gt;"",K274&lt;&gt;""),"In both a container and a vehicle. ","")&amp;IF(AND(H274="Ship",L274=""),"No destination. ","")&amp;IF(AND(J274&lt;&gt;"",L274&lt;&gt;"",IFERROR(VLOOKUP(J274,Containers!$A$5:$F$60,6,FALSE()),L274)&lt;&gt;L274),"Destination differs from container. ","")&amp;IF(AND(K274&lt;&gt;"",L274&lt;&gt;"",IFERROR(VLOOKUP(K274,Vehicles!$A$5:$F$60,6,FALSE()),L274)&lt;&gt;L274),"Destination differs from vehicle. ","")&amp;IF(AND(H274="Stay",OR(J274&lt;&gt;"",K274&lt;&gt;"",L274&lt;&gt;"")),"Marked Stay but has a container/vehicle/destination. ","")&amp;IF(G274="Missing","Reported missing. ","")&amp;IF(AND(P274&lt;&gt;"",N(P274)&lt;0),"Service overdue. ","")))</f>
        <v/>
      </c>
      <c r="S274" s="17" t="str">
        <f aca="false">IF(A274="","",IF(CHOOSE(MATCH(Find!$C$4,Lists!$K$2:$K$7,0),F274,E274,J274,K274,L274,G274)=Find!$C$5,MAX(S$4:S273)+1,""))</f>
        <v/>
      </c>
      <c r="T274" s="17" t="str">
        <f aca="false">IF(A274="","",IF(OR(J274=Manifest!$C$4,K274=Manifest!$C$4),MAX(T$4:T273)+1,""))</f>
        <v/>
      </c>
    </row>
    <row r="275" customFormat="false" ht="15" hidden="false" customHeight="false" outlineLevel="0" collapsed="false">
      <c r="C275" s="14"/>
      <c r="E275" s="14"/>
      <c r="F275" s="14"/>
      <c r="G275" s="14"/>
      <c r="H275" s="14"/>
      <c r="M275" s="12"/>
      <c r="O275" s="15" t="str">
        <f aca="false">IF(OR(M275="",N275=""),"",M275+N275)</f>
        <v/>
      </c>
      <c r="P275" s="16" t="str">
        <f aca="true">IF(O275="","",O275-TODAY())</f>
        <v/>
      </c>
      <c r="Q275" s="17" t="str">
        <f aca="false">IF(A275="","",TRIM(IF(E275="","No owner. ","")&amp;IF(F275="","No storage location. ","")&amp;IF(D275="","Serial missing. ","")&amp;IF(OR(H275="",H275="Undecided"),"No disposition. ","")&amp;IF(AND(H275="Ship",J275="",K275=""),"Shipping but no container/vehicle. ","")&amp;IF(AND(J275&lt;&gt;"",K275&lt;&gt;""),"In both a container and a vehicle. ","")&amp;IF(AND(H275="Ship",L275=""),"No destination. ","")&amp;IF(AND(J275&lt;&gt;"",L275&lt;&gt;"",IFERROR(VLOOKUP(J275,Containers!$A$5:$F$60,6,FALSE()),L275)&lt;&gt;L275),"Destination differs from container. ","")&amp;IF(AND(K275&lt;&gt;"",L275&lt;&gt;"",IFERROR(VLOOKUP(K275,Vehicles!$A$5:$F$60,6,FALSE()),L275)&lt;&gt;L275),"Destination differs from vehicle. ","")&amp;IF(AND(H275="Stay",OR(J275&lt;&gt;"",K275&lt;&gt;"",L275&lt;&gt;"")),"Marked Stay but has a container/vehicle/destination. ","")&amp;IF(G275="Missing","Reported missing. ","")&amp;IF(AND(P275&lt;&gt;"",N(P275)&lt;0),"Service overdue. ","")))</f>
        <v/>
      </c>
      <c r="S275" s="17" t="str">
        <f aca="false">IF(A275="","",IF(CHOOSE(MATCH(Find!$C$4,Lists!$K$2:$K$7,0),F275,E275,J275,K275,L275,G275)=Find!$C$5,MAX(S$4:S274)+1,""))</f>
        <v/>
      </c>
      <c r="T275" s="17" t="str">
        <f aca="false">IF(A275="","",IF(OR(J275=Manifest!$C$4,K275=Manifest!$C$4),MAX(T$4:T274)+1,""))</f>
        <v/>
      </c>
    </row>
    <row r="276" customFormat="false" ht="15" hidden="false" customHeight="false" outlineLevel="0" collapsed="false">
      <c r="C276" s="14"/>
      <c r="E276" s="14"/>
      <c r="F276" s="14"/>
      <c r="G276" s="14"/>
      <c r="H276" s="14"/>
      <c r="M276" s="12"/>
      <c r="O276" s="15" t="str">
        <f aca="false">IF(OR(M276="",N276=""),"",M276+N276)</f>
        <v/>
      </c>
      <c r="P276" s="16" t="str">
        <f aca="true">IF(O276="","",O276-TODAY())</f>
        <v/>
      </c>
      <c r="Q276" s="17" t="str">
        <f aca="false">IF(A276="","",TRIM(IF(E276="","No owner. ","")&amp;IF(F276="","No storage location. ","")&amp;IF(D276="","Serial missing. ","")&amp;IF(OR(H276="",H276="Undecided"),"No disposition. ","")&amp;IF(AND(H276="Ship",J276="",K276=""),"Shipping but no container/vehicle. ","")&amp;IF(AND(J276&lt;&gt;"",K276&lt;&gt;""),"In both a container and a vehicle. ","")&amp;IF(AND(H276="Ship",L276=""),"No destination. ","")&amp;IF(AND(J276&lt;&gt;"",L276&lt;&gt;"",IFERROR(VLOOKUP(J276,Containers!$A$5:$F$60,6,FALSE()),L276)&lt;&gt;L276),"Destination differs from container. ","")&amp;IF(AND(K276&lt;&gt;"",L276&lt;&gt;"",IFERROR(VLOOKUP(K276,Vehicles!$A$5:$F$60,6,FALSE()),L276)&lt;&gt;L276),"Destination differs from vehicle. ","")&amp;IF(AND(H276="Stay",OR(J276&lt;&gt;"",K276&lt;&gt;"",L276&lt;&gt;"")),"Marked Stay but has a container/vehicle/destination. ","")&amp;IF(G276="Missing","Reported missing. ","")&amp;IF(AND(P276&lt;&gt;"",N(P276)&lt;0),"Service overdue. ","")))</f>
        <v/>
      </c>
      <c r="S276" s="17" t="str">
        <f aca="false">IF(A276="","",IF(CHOOSE(MATCH(Find!$C$4,Lists!$K$2:$K$7,0),F276,E276,J276,K276,L276,G276)=Find!$C$5,MAX(S$4:S275)+1,""))</f>
        <v/>
      </c>
      <c r="T276" s="17" t="str">
        <f aca="false">IF(A276="","",IF(OR(J276=Manifest!$C$4,K276=Manifest!$C$4),MAX(T$4:T275)+1,""))</f>
        <v/>
      </c>
    </row>
    <row r="277" customFormat="false" ht="15" hidden="false" customHeight="false" outlineLevel="0" collapsed="false">
      <c r="C277" s="14"/>
      <c r="E277" s="14"/>
      <c r="F277" s="14"/>
      <c r="G277" s="14"/>
      <c r="H277" s="14"/>
      <c r="M277" s="12"/>
      <c r="O277" s="15" t="str">
        <f aca="false">IF(OR(M277="",N277=""),"",M277+N277)</f>
        <v/>
      </c>
      <c r="P277" s="16" t="str">
        <f aca="true">IF(O277="","",O277-TODAY())</f>
        <v/>
      </c>
      <c r="Q277" s="17" t="str">
        <f aca="false">IF(A277="","",TRIM(IF(E277="","No owner. ","")&amp;IF(F277="","No storage location. ","")&amp;IF(D277="","Serial missing. ","")&amp;IF(OR(H277="",H277="Undecided"),"No disposition. ","")&amp;IF(AND(H277="Ship",J277="",K277=""),"Shipping but no container/vehicle. ","")&amp;IF(AND(J277&lt;&gt;"",K277&lt;&gt;""),"In both a container and a vehicle. ","")&amp;IF(AND(H277="Ship",L277=""),"No destination. ","")&amp;IF(AND(J277&lt;&gt;"",L277&lt;&gt;"",IFERROR(VLOOKUP(J277,Containers!$A$5:$F$60,6,FALSE()),L277)&lt;&gt;L277),"Destination differs from container. ","")&amp;IF(AND(K277&lt;&gt;"",L277&lt;&gt;"",IFERROR(VLOOKUP(K277,Vehicles!$A$5:$F$60,6,FALSE()),L277)&lt;&gt;L277),"Destination differs from vehicle. ","")&amp;IF(AND(H277="Stay",OR(J277&lt;&gt;"",K277&lt;&gt;"",L277&lt;&gt;"")),"Marked Stay but has a container/vehicle/destination. ","")&amp;IF(G277="Missing","Reported missing. ","")&amp;IF(AND(P277&lt;&gt;"",N(P277)&lt;0),"Service overdue. ","")))</f>
        <v/>
      </c>
      <c r="S277" s="17" t="str">
        <f aca="false">IF(A277="","",IF(CHOOSE(MATCH(Find!$C$4,Lists!$K$2:$K$7,0),F277,E277,J277,K277,L277,G277)=Find!$C$5,MAX(S$4:S276)+1,""))</f>
        <v/>
      </c>
      <c r="T277" s="17" t="str">
        <f aca="false">IF(A277="","",IF(OR(J277=Manifest!$C$4,K277=Manifest!$C$4),MAX(T$4:T276)+1,""))</f>
        <v/>
      </c>
    </row>
    <row r="278" customFormat="false" ht="15" hidden="false" customHeight="false" outlineLevel="0" collapsed="false">
      <c r="C278" s="14"/>
      <c r="E278" s="14"/>
      <c r="F278" s="14"/>
      <c r="G278" s="14"/>
      <c r="H278" s="14"/>
      <c r="M278" s="12"/>
      <c r="O278" s="15" t="str">
        <f aca="false">IF(OR(M278="",N278=""),"",M278+N278)</f>
        <v/>
      </c>
      <c r="P278" s="16" t="str">
        <f aca="true">IF(O278="","",O278-TODAY())</f>
        <v/>
      </c>
      <c r="Q278" s="17" t="str">
        <f aca="false">IF(A278="","",TRIM(IF(E278="","No owner. ","")&amp;IF(F278="","No storage location. ","")&amp;IF(D278="","Serial missing. ","")&amp;IF(OR(H278="",H278="Undecided"),"No disposition. ","")&amp;IF(AND(H278="Ship",J278="",K278=""),"Shipping but no container/vehicle. ","")&amp;IF(AND(J278&lt;&gt;"",K278&lt;&gt;""),"In both a container and a vehicle. ","")&amp;IF(AND(H278="Ship",L278=""),"No destination. ","")&amp;IF(AND(J278&lt;&gt;"",L278&lt;&gt;"",IFERROR(VLOOKUP(J278,Containers!$A$5:$F$60,6,FALSE()),L278)&lt;&gt;L278),"Destination differs from container. ","")&amp;IF(AND(K278&lt;&gt;"",L278&lt;&gt;"",IFERROR(VLOOKUP(K278,Vehicles!$A$5:$F$60,6,FALSE()),L278)&lt;&gt;L278),"Destination differs from vehicle. ","")&amp;IF(AND(H278="Stay",OR(J278&lt;&gt;"",K278&lt;&gt;"",L278&lt;&gt;"")),"Marked Stay but has a container/vehicle/destination. ","")&amp;IF(G278="Missing","Reported missing. ","")&amp;IF(AND(P278&lt;&gt;"",N(P278)&lt;0),"Service overdue. ","")))</f>
        <v/>
      </c>
      <c r="S278" s="17" t="str">
        <f aca="false">IF(A278="","",IF(CHOOSE(MATCH(Find!$C$4,Lists!$K$2:$K$7,0),F278,E278,J278,K278,L278,G278)=Find!$C$5,MAX(S$4:S277)+1,""))</f>
        <v/>
      </c>
      <c r="T278" s="17" t="str">
        <f aca="false">IF(A278="","",IF(OR(J278=Manifest!$C$4,K278=Manifest!$C$4),MAX(T$4:T277)+1,""))</f>
        <v/>
      </c>
    </row>
    <row r="279" customFormat="false" ht="15" hidden="false" customHeight="false" outlineLevel="0" collapsed="false">
      <c r="C279" s="14"/>
      <c r="E279" s="14"/>
      <c r="F279" s="14"/>
      <c r="G279" s="14"/>
      <c r="H279" s="14"/>
      <c r="M279" s="12"/>
      <c r="O279" s="15" t="str">
        <f aca="false">IF(OR(M279="",N279=""),"",M279+N279)</f>
        <v/>
      </c>
      <c r="P279" s="16" t="str">
        <f aca="true">IF(O279="","",O279-TODAY())</f>
        <v/>
      </c>
      <c r="Q279" s="17" t="str">
        <f aca="false">IF(A279="","",TRIM(IF(E279="","No owner. ","")&amp;IF(F279="","No storage location. ","")&amp;IF(D279="","Serial missing. ","")&amp;IF(OR(H279="",H279="Undecided"),"No disposition. ","")&amp;IF(AND(H279="Ship",J279="",K279=""),"Shipping but no container/vehicle. ","")&amp;IF(AND(J279&lt;&gt;"",K279&lt;&gt;""),"In both a container and a vehicle. ","")&amp;IF(AND(H279="Ship",L279=""),"No destination. ","")&amp;IF(AND(J279&lt;&gt;"",L279&lt;&gt;"",IFERROR(VLOOKUP(J279,Containers!$A$5:$F$60,6,FALSE()),L279)&lt;&gt;L279),"Destination differs from container. ","")&amp;IF(AND(K279&lt;&gt;"",L279&lt;&gt;"",IFERROR(VLOOKUP(K279,Vehicles!$A$5:$F$60,6,FALSE()),L279)&lt;&gt;L279),"Destination differs from vehicle. ","")&amp;IF(AND(H279="Stay",OR(J279&lt;&gt;"",K279&lt;&gt;"",L279&lt;&gt;"")),"Marked Stay but has a container/vehicle/destination. ","")&amp;IF(G279="Missing","Reported missing. ","")&amp;IF(AND(P279&lt;&gt;"",N(P279)&lt;0),"Service overdue. ","")))</f>
        <v/>
      </c>
      <c r="S279" s="17" t="str">
        <f aca="false">IF(A279="","",IF(CHOOSE(MATCH(Find!$C$4,Lists!$K$2:$K$7,0),F279,E279,J279,K279,L279,G279)=Find!$C$5,MAX(S$4:S278)+1,""))</f>
        <v/>
      </c>
      <c r="T279" s="17" t="str">
        <f aca="false">IF(A279="","",IF(OR(J279=Manifest!$C$4,K279=Manifest!$C$4),MAX(T$4:T278)+1,""))</f>
        <v/>
      </c>
    </row>
    <row r="280" customFormat="false" ht="15" hidden="false" customHeight="false" outlineLevel="0" collapsed="false">
      <c r="C280" s="14"/>
      <c r="E280" s="14"/>
      <c r="F280" s="14"/>
      <c r="G280" s="14"/>
      <c r="H280" s="14"/>
      <c r="M280" s="12"/>
      <c r="O280" s="15" t="str">
        <f aca="false">IF(OR(M280="",N280=""),"",M280+N280)</f>
        <v/>
      </c>
      <c r="P280" s="16" t="str">
        <f aca="true">IF(O280="","",O280-TODAY())</f>
        <v/>
      </c>
      <c r="Q280" s="17" t="str">
        <f aca="false">IF(A280="","",TRIM(IF(E280="","No owner. ","")&amp;IF(F280="","No storage location. ","")&amp;IF(D280="","Serial missing. ","")&amp;IF(OR(H280="",H280="Undecided"),"No disposition. ","")&amp;IF(AND(H280="Ship",J280="",K280=""),"Shipping but no container/vehicle. ","")&amp;IF(AND(J280&lt;&gt;"",K280&lt;&gt;""),"In both a container and a vehicle. ","")&amp;IF(AND(H280="Ship",L280=""),"No destination. ","")&amp;IF(AND(J280&lt;&gt;"",L280&lt;&gt;"",IFERROR(VLOOKUP(J280,Containers!$A$5:$F$60,6,FALSE()),L280)&lt;&gt;L280),"Destination differs from container. ","")&amp;IF(AND(K280&lt;&gt;"",L280&lt;&gt;"",IFERROR(VLOOKUP(K280,Vehicles!$A$5:$F$60,6,FALSE()),L280)&lt;&gt;L280),"Destination differs from vehicle. ","")&amp;IF(AND(H280="Stay",OR(J280&lt;&gt;"",K280&lt;&gt;"",L280&lt;&gt;"")),"Marked Stay but has a container/vehicle/destination. ","")&amp;IF(G280="Missing","Reported missing. ","")&amp;IF(AND(P280&lt;&gt;"",N(P280)&lt;0),"Service overdue. ","")))</f>
        <v/>
      </c>
      <c r="S280" s="17" t="str">
        <f aca="false">IF(A280="","",IF(CHOOSE(MATCH(Find!$C$4,Lists!$K$2:$K$7,0),F280,E280,J280,K280,L280,G280)=Find!$C$5,MAX(S$4:S279)+1,""))</f>
        <v/>
      </c>
      <c r="T280" s="17" t="str">
        <f aca="false">IF(A280="","",IF(OR(J280=Manifest!$C$4,K280=Manifest!$C$4),MAX(T$4:T279)+1,""))</f>
        <v/>
      </c>
    </row>
    <row r="281" customFormat="false" ht="15" hidden="false" customHeight="false" outlineLevel="0" collapsed="false">
      <c r="C281" s="14"/>
      <c r="E281" s="14"/>
      <c r="F281" s="14"/>
      <c r="G281" s="14"/>
      <c r="H281" s="14"/>
      <c r="M281" s="12"/>
      <c r="O281" s="15" t="str">
        <f aca="false">IF(OR(M281="",N281=""),"",M281+N281)</f>
        <v/>
      </c>
      <c r="P281" s="16" t="str">
        <f aca="true">IF(O281="","",O281-TODAY())</f>
        <v/>
      </c>
      <c r="Q281" s="17" t="str">
        <f aca="false">IF(A281="","",TRIM(IF(E281="","No owner. ","")&amp;IF(F281="","No storage location. ","")&amp;IF(D281="","Serial missing. ","")&amp;IF(OR(H281="",H281="Undecided"),"No disposition. ","")&amp;IF(AND(H281="Ship",J281="",K281=""),"Shipping but no container/vehicle. ","")&amp;IF(AND(J281&lt;&gt;"",K281&lt;&gt;""),"In both a container and a vehicle. ","")&amp;IF(AND(H281="Ship",L281=""),"No destination. ","")&amp;IF(AND(J281&lt;&gt;"",L281&lt;&gt;"",IFERROR(VLOOKUP(J281,Containers!$A$5:$F$60,6,FALSE()),L281)&lt;&gt;L281),"Destination differs from container. ","")&amp;IF(AND(K281&lt;&gt;"",L281&lt;&gt;"",IFERROR(VLOOKUP(K281,Vehicles!$A$5:$F$60,6,FALSE()),L281)&lt;&gt;L281),"Destination differs from vehicle. ","")&amp;IF(AND(H281="Stay",OR(J281&lt;&gt;"",K281&lt;&gt;"",L281&lt;&gt;"")),"Marked Stay but has a container/vehicle/destination. ","")&amp;IF(G281="Missing","Reported missing. ","")&amp;IF(AND(P281&lt;&gt;"",N(P281)&lt;0),"Service overdue. ","")))</f>
        <v/>
      </c>
      <c r="S281" s="17" t="str">
        <f aca="false">IF(A281="","",IF(CHOOSE(MATCH(Find!$C$4,Lists!$K$2:$K$7,0),F281,E281,J281,K281,L281,G281)=Find!$C$5,MAX(S$4:S280)+1,""))</f>
        <v/>
      </c>
      <c r="T281" s="17" t="str">
        <f aca="false">IF(A281="","",IF(OR(J281=Manifest!$C$4,K281=Manifest!$C$4),MAX(T$4:T280)+1,""))</f>
        <v/>
      </c>
    </row>
    <row r="282" customFormat="false" ht="15" hidden="false" customHeight="false" outlineLevel="0" collapsed="false">
      <c r="C282" s="14"/>
      <c r="E282" s="14"/>
      <c r="F282" s="14"/>
      <c r="G282" s="14"/>
      <c r="H282" s="14"/>
      <c r="M282" s="12"/>
      <c r="O282" s="15" t="str">
        <f aca="false">IF(OR(M282="",N282=""),"",M282+N282)</f>
        <v/>
      </c>
      <c r="P282" s="16" t="str">
        <f aca="true">IF(O282="","",O282-TODAY())</f>
        <v/>
      </c>
      <c r="Q282" s="17" t="str">
        <f aca="false">IF(A282="","",TRIM(IF(E282="","No owner. ","")&amp;IF(F282="","No storage location. ","")&amp;IF(D282="","Serial missing. ","")&amp;IF(OR(H282="",H282="Undecided"),"No disposition. ","")&amp;IF(AND(H282="Ship",J282="",K282=""),"Shipping but no container/vehicle. ","")&amp;IF(AND(J282&lt;&gt;"",K282&lt;&gt;""),"In both a container and a vehicle. ","")&amp;IF(AND(H282="Ship",L282=""),"No destination. ","")&amp;IF(AND(J282&lt;&gt;"",L282&lt;&gt;"",IFERROR(VLOOKUP(J282,Containers!$A$5:$F$60,6,FALSE()),L282)&lt;&gt;L282),"Destination differs from container. ","")&amp;IF(AND(K282&lt;&gt;"",L282&lt;&gt;"",IFERROR(VLOOKUP(K282,Vehicles!$A$5:$F$60,6,FALSE()),L282)&lt;&gt;L282),"Destination differs from vehicle. ","")&amp;IF(AND(H282="Stay",OR(J282&lt;&gt;"",K282&lt;&gt;"",L282&lt;&gt;"")),"Marked Stay but has a container/vehicle/destination. ","")&amp;IF(G282="Missing","Reported missing. ","")&amp;IF(AND(P282&lt;&gt;"",N(P282)&lt;0),"Service overdue. ","")))</f>
        <v/>
      </c>
      <c r="S282" s="17" t="str">
        <f aca="false">IF(A282="","",IF(CHOOSE(MATCH(Find!$C$4,Lists!$K$2:$K$7,0),F282,E282,J282,K282,L282,G282)=Find!$C$5,MAX(S$4:S281)+1,""))</f>
        <v/>
      </c>
      <c r="T282" s="17" t="str">
        <f aca="false">IF(A282="","",IF(OR(J282=Manifest!$C$4,K282=Manifest!$C$4),MAX(T$4:T281)+1,""))</f>
        <v/>
      </c>
    </row>
    <row r="283" customFormat="false" ht="15" hidden="false" customHeight="false" outlineLevel="0" collapsed="false">
      <c r="C283" s="14"/>
      <c r="E283" s="14"/>
      <c r="F283" s="14"/>
      <c r="G283" s="14"/>
      <c r="H283" s="14"/>
      <c r="M283" s="12"/>
      <c r="O283" s="15" t="str">
        <f aca="false">IF(OR(M283="",N283=""),"",M283+N283)</f>
        <v/>
      </c>
      <c r="P283" s="16" t="str">
        <f aca="true">IF(O283="","",O283-TODAY())</f>
        <v/>
      </c>
      <c r="Q283" s="17" t="str">
        <f aca="false">IF(A283="","",TRIM(IF(E283="","No owner. ","")&amp;IF(F283="","No storage location. ","")&amp;IF(D283="","Serial missing. ","")&amp;IF(OR(H283="",H283="Undecided"),"No disposition. ","")&amp;IF(AND(H283="Ship",J283="",K283=""),"Shipping but no container/vehicle. ","")&amp;IF(AND(J283&lt;&gt;"",K283&lt;&gt;""),"In both a container and a vehicle. ","")&amp;IF(AND(H283="Ship",L283=""),"No destination. ","")&amp;IF(AND(J283&lt;&gt;"",L283&lt;&gt;"",IFERROR(VLOOKUP(J283,Containers!$A$5:$F$60,6,FALSE()),L283)&lt;&gt;L283),"Destination differs from container. ","")&amp;IF(AND(K283&lt;&gt;"",L283&lt;&gt;"",IFERROR(VLOOKUP(K283,Vehicles!$A$5:$F$60,6,FALSE()),L283)&lt;&gt;L283),"Destination differs from vehicle. ","")&amp;IF(AND(H283="Stay",OR(J283&lt;&gt;"",K283&lt;&gt;"",L283&lt;&gt;"")),"Marked Stay but has a container/vehicle/destination. ","")&amp;IF(G283="Missing","Reported missing. ","")&amp;IF(AND(P283&lt;&gt;"",N(P283)&lt;0),"Service overdue. ","")))</f>
        <v/>
      </c>
      <c r="S283" s="17" t="str">
        <f aca="false">IF(A283="","",IF(CHOOSE(MATCH(Find!$C$4,Lists!$K$2:$K$7,0),F283,E283,J283,K283,L283,G283)=Find!$C$5,MAX(S$4:S282)+1,""))</f>
        <v/>
      </c>
      <c r="T283" s="17" t="str">
        <f aca="false">IF(A283="","",IF(OR(J283=Manifest!$C$4,K283=Manifest!$C$4),MAX(T$4:T282)+1,""))</f>
        <v/>
      </c>
    </row>
    <row r="284" customFormat="false" ht="15" hidden="false" customHeight="false" outlineLevel="0" collapsed="false">
      <c r="C284" s="14"/>
      <c r="E284" s="14"/>
      <c r="F284" s="14"/>
      <c r="G284" s="14"/>
      <c r="H284" s="14"/>
      <c r="M284" s="12"/>
      <c r="O284" s="15" t="str">
        <f aca="false">IF(OR(M284="",N284=""),"",M284+N284)</f>
        <v/>
      </c>
      <c r="P284" s="16" t="str">
        <f aca="true">IF(O284="","",O284-TODAY())</f>
        <v/>
      </c>
      <c r="Q284" s="17" t="str">
        <f aca="false">IF(A284="","",TRIM(IF(E284="","No owner. ","")&amp;IF(F284="","No storage location. ","")&amp;IF(D284="","Serial missing. ","")&amp;IF(OR(H284="",H284="Undecided"),"No disposition. ","")&amp;IF(AND(H284="Ship",J284="",K284=""),"Shipping but no container/vehicle. ","")&amp;IF(AND(J284&lt;&gt;"",K284&lt;&gt;""),"In both a container and a vehicle. ","")&amp;IF(AND(H284="Ship",L284=""),"No destination. ","")&amp;IF(AND(J284&lt;&gt;"",L284&lt;&gt;"",IFERROR(VLOOKUP(J284,Containers!$A$5:$F$60,6,FALSE()),L284)&lt;&gt;L284),"Destination differs from container. ","")&amp;IF(AND(K284&lt;&gt;"",L284&lt;&gt;"",IFERROR(VLOOKUP(K284,Vehicles!$A$5:$F$60,6,FALSE()),L284)&lt;&gt;L284),"Destination differs from vehicle. ","")&amp;IF(AND(H284="Stay",OR(J284&lt;&gt;"",K284&lt;&gt;"",L284&lt;&gt;"")),"Marked Stay but has a container/vehicle/destination. ","")&amp;IF(G284="Missing","Reported missing. ","")&amp;IF(AND(P284&lt;&gt;"",N(P284)&lt;0),"Service overdue. ","")))</f>
        <v/>
      </c>
      <c r="S284" s="17" t="str">
        <f aca="false">IF(A284="","",IF(CHOOSE(MATCH(Find!$C$4,Lists!$K$2:$K$7,0),F284,E284,J284,K284,L284,G284)=Find!$C$5,MAX(S$4:S283)+1,""))</f>
        <v/>
      </c>
      <c r="T284" s="17" t="str">
        <f aca="false">IF(A284="","",IF(OR(J284=Manifest!$C$4,K284=Manifest!$C$4),MAX(T$4:T283)+1,""))</f>
        <v/>
      </c>
    </row>
    <row r="285" customFormat="false" ht="15" hidden="false" customHeight="false" outlineLevel="0" collapsed="false">
      <c r="C285" s="14"/>
      <c r="E285" s="14"/>
      <c r="F285" s="14"/>
      <c r="G285" s="14"/>
      <c r="H285" s="14"/>
      <c r="M285" s="12"/>
      <c r="O285" s="15" t="str">
        <f aca="false">IF(OR(M285="",N285=""),"",M285+N285)</f>
        <v/>
      </c>
      <c r="P285" s="16" t="str">
        <f aca="true">IF(O285="","",O285-TODAY())</f>
        <v/>
      </c>
      <c r="Q285" s="17" t="str">
        <f aca="false">IF(A285="","",TRIM(IF(E285="","No owner. ","")&amp;IF(F285="","No storage location. ","")&amp;IF(D285="","Serial missing. ","")&amp;IF(OR(H285="",H285="Undecided"),"No disposition. ","")&amp;IF(AND(H285="Ship",J285="",K285=""),"Shipping but no container/vehicle. ","")&amp;IF(AND(J285&lt;&gt;"",K285&lt;&gt;""),"In both a container and a vehicle. ","")&amp;IF(AND(H285="Ship",L285=""),"No destination. ","")&amp;IF(AND(J285&lt;&gt;"",L285&lt;&gt;"",IFERROR(VLOOKUP(J285,Containers!$A$5:$F$60,6,FALSE()),L285)&lt;&gt;L285),"Destination differs from container. ","")&amp;IF(AND(K285&lt;&gt;"",L285&lt;&gt;"",IFERROR(VLOOKUP(K285,Vehicles!$A$5:$F$60,6,FALSE()),L285)&lt;&gt;L285),"Destination differs from vehicle. ","")&amp;IF(AND(H285="Stay",OR(J285&lt;&gt;"",K285&lt;&gt;"",L285&lt;&gt;"")),"Marked Stay but has a container/vehicle/destination. ","")&amp;IF(G285="Missing","Reported missing. ","")&amp;IF(AND(P285&lt;&gt;"",N(P285)&lt;0),"Service overdue. ","")))</f>
        <v/>
      </c>
      <c r="S285" s="17" t="str">
        <f aca="false">IF(A285="","",IF(CHOOSE(MATCH(Find!$C$4,Lists!$K$2:$K$7,0),F285,E285,J285,K285,L285,G285)=Find!$C$5,MAX(S$4:S284)+1,""))</f>
        <v/>
      </c>
      <c r="T285" s="17" t="str">
        <f aca="false">IF(A285="","",IF(OR(J285=Manifest!$C$4,K285=Manifest!$C$4),MAX(T$4:T284)+1,""))</f>
        <v/>
      </c>
    </row>
    <row r="286" customFormat="false" ht="15" hidden="false" customHeight="false" outlineLevel="0" collapsed="false">
      <c r="C286" s="14"/>
      <c r="E286" s="14"/>
      <c r="F286" s="14"/>
      <c r="G286" s="14"/>
      <c r="H286" s="14"/>
      <c r="M286" s="12"/>
      <c r="O286" s="15" t="str">
        <f aca="false">IF(OR(M286="",N286=""),"",M286+N286)</f>
        <v/>
      </c>
      <c r="P286" s="16" t="str">
        <f aca="true">IF(O286="","",O286-TODAY())</f>
        <v/>
      </c>
      <c r="Q286" s="17" t="str">
        <f aca="false">IF(A286="","",TRIM(IF(E286="","No owner. ","")&amp;IF(F286="","No storage location. ","")&amp;IF(D286="","Serial missing. ","")&amp;IF(OR(H286="",H286="Undecided"),"No disposition. ","")&amp;IF(AND(H286="Ship",J286="",K286=""),"Shipping but no container/vehicle. ","")&amp;IF(AND(J286&lt;&gt;"",K286&lt;&gt;""),"In both a container and a vehicle. ","")&amp;IF(AND(H286="Ship",L286=""),"No destination. ","")&amp;IF(AND(J286&lt;&gt;"",L286&lt;&gt;"",IFERROR(VLOOKUP(J286,Containers!$A$5:$F$60,6,FALSE()),L286)&lt;&gt;L286),"Destination differs from container. ","")&amp;IF(AND(K286&lt;&gt;"",L286&lt;&gt;"",IFERROR(VLOOKUP(K286,Vehicles!$A$5:$F$60,6,FALSE()),L286)&lt;&gt;L286),"Destination differs from vehicle. ","")&amp;IF(AND(H286="Stay",OR(J286&lt;&gt;"",K286&lt;&gt;"",L286&lt;&gt;"")),"Marked Stay but has a container/vehicle/destination. ","")&amp;IF(G286="Missing","Reported missing. ","")&amp;IF(AND(P286&lt;&gt;"",N(P286)&lt;0),"Service overdue. ","")))</f>
        <v/>
      </c>
      <c r="S286" s="17" t="str">
        <f aca="false">IF(A286="","",IF(CHOOSE(MATCH(Find!$C$4,Lists!$K$2:$K$7,0),F286,E286,J286,K286,L286,G286)=Find!$C$5,MAX(S$4:S285)+1,""))</f>
        <v/>
      </c>
      <c r="T286" s="17" t="str">
        <f aca="false">IF(A286="","",IF(OR(J286=Manifest!$C$4,K286=Manifest!$C$4),MAX(T$4:T285)+1,""))</f>
        <v/>
      </c>
    </row>
    <row r="287" customFormat="false" ht="15" hidden="false" customHeight="false" outlineLevel="0" collapsed="false">
      <c r="C287" s="14"/>
      <c r="E287" s="14"/>
      <c r="F287" s="14"/>
      <c r="G287" s="14"/>
      <c r="H287" s="14"/>
      <c r="M287" s="12"/>
      <c r="O287" s="15" t="str">
        <f aca="false">IF(OR(M287="",N287=""),"",M287+N287)</f>
        <v/>
      </c>
      <c r="P287" s="16" t="str">
        <f aca="true">IF(O287="","",O287-TODAY())</f>
        <v/>
      </c>
      <c r="Q287" s="17" t="str">
        <f aca="false">IF(A287="","",TRIM(IF(E287="","No owner. ","")&amp;IF(F287="","No storage location. ","")&amp;IF(D287="","Serial missing. ","")&amp;IF(OR(H287="",H287="Undecided"),"No disposition. ","")&amp;IF(AND(H287="Ship",J287="",K287=""),"Shipping but no container/vehicle. ","")&amp;IF(AND(J287&lt;&gt;"",K287&lt;&gt;""),"In both a container and a vehicle. ","")&amp;IF(AND(H287="Ship",L287=""),"No destination. ","")&amp;IF(AND(J287&lt;&gt;"",L287&lt;&gt;"",IFERROR(VLOOKUP(J287,Containers!$A$5:$F$60,6,FALSE()),L287)&lt;&gt;L287),"Destination differs from container. ","")&amp;IF(AND(K287&lt;&gt;"",L287&lt;&gt;"",IFERROR(VLOOKUP(K287,Vehicles!$A$5:$F$60,6,FALSE()),L287)&lt;&gt;L287),"Destination differs from vehicle. ","")&amp;IF(AND(H287="Stay",OR(J287&lt;&gt;"",K287&lt;&gt;"",L287&lt;&gt;"")),"Marked Stay but has a container/vehicle/destination. ","")&amp;IF(G287="Missing","Reported missing. ","")&amp;IF(AND(P287&lt;&gt;"",N(P287)&lt;0),"Service overdue. ","")))</f>
        <v/>
      </c>
      <c r="S287" s="17" t="str">
        <f aca="false">IF(A287="","",IF(CHOOSE(MATCH(Find!$C$4,Lists!$K$2:$K$7,0),F287,E287,J287,K287,L287,G287)=Find!$C$5,MAX(S$4:S286)+1,""))</f>
        <v/>
      </c>
      <c r="T287" s="17" t="str">
        <f aca="false">IF(A287="","",IF(OR(J287=Manifest!$C$4,K287=Manifest!$C$4),MAX(T$4:T286)+1,""))</f>
        <v/>
      </c>
    </row>
    <row r="288" customFormat="false" ht="15" hidden="false" customHeight="false" outlineLevel="0" collapsed="false">
      <c r="C288" s="14"/>
      <c r="E288" s="14"/>
      <c r="F288" s="14"/>
      <c r="G288" s="14"/>
      <c r="H288" s="14"/>
      <c r="M288" s="12"/>
      <c r="O288" s="15" t="str">
        <f aca="false">IF(OR(M288="",N288=""),"",M288+N288)</f>
        <v/>
      </c>
      <c r="P288" s="16" t="str">
        <f aca="true">IF(O288="","",O288-TODAY())</f>
        <v/>
      </c>
      <c r="Q288" s="17" t="str">
        <f aca="false">IF(A288="","",TRIM(IF(E288="","No owner. ","")&amp;IF(F288="","No storage location. ","")&amp;IF(D288="","Serial missing. ","")&amp;IF(OR(H288="",H288="Undecided"),"No disposition. ","")&amp;IF(AND(H288="Ship",J288="",K288=""),"Shipping but no container/vehicle. ","")&amp;IF(AND(J288&lt;&gt;"",K288&lt;&gt;""),"In both a container and a vehicle. ","")&amp;IF(AND(H288="Ship",L288=""),"No destination. ","")&amp;IF(AND(J288&lt;&gt;"",L288&lt;&gt;"",IFERROR(VLOOKUP(J288,Containers!$A$5:$F$60,6,FALSE()),L288)&lt;&gt;L288),"Destination differs from container. ","")&amp;IF(AND(K288&lt;&gt;"",L288&lt;&gt;"",IFERROR(VLOOKUP(K288,Vehicles!$A$5:$F$60,6,FALSE()),L288)&lt;&gt;L288),"Destination differs from vehicle. ","")&amp;IF(AND(H288="Stay",OR(J288&lt;&gt;"",K288&lt;&gt;"",L288&lt;&gt;"")),"Marked Stay but has a container/vehicle/destination. ","")&amp;IF(G288="Missing","Reported missing. ","")&amp;IF(AND(P288&lt;&gt;"",N(P288)&lt;0),"Service overdue. ","")))</f>
        <v/>
      </c>
      <c r="S288" s="17" t="str">
        <f aca="false">IF(A288="","",IF(CHOOSE(MATCH(Find!$C$4,Lists!$K$2:$K$7,0),F288,E288,J288,K288,L288,G288)=Find!$C$5,MAX(S$4:S287)+1,""))</f>
        <v/>
      </c>
      <c r="T288" s="17" t="str">
        <f aca="false">IF(A288="","",IF(OR(J288=Manifest!$C$4,K288=Manifest!$C$4),MAX(T$4:T287)+1,""))</f>
        <v/>
      </c>
    </row>
    <row r="289" customFormat="false" ht="15" hidden="false" customHeight="false" outlineLevel="0" collapsed="false">
      <c r="C289" s="14"/>
      <c r="E289" s="14"/>
      <c r="F289" s="14"/>
      <c r="G289" s="14"/>
      <c r="H289" s="14"/>
      <c r="M289" s="12"/>
      <c r="O289" s="15" t="str">
        <f aca="false">IF(OR(M289="",N289=""),"",M289+N289)</f>
        <v/>
      </c>
      <c r="P289" s="16" t="str">
        <f aca="true">IF(O289="","",O289-TODAY())</f>
        <v/>
      </c>
      <c r="Q289" s="17" t="str">
        <f aca="false">IF(A289="","",TRIM(IF(E289="","No owner. ","")&amp;IF(F289="","No storage location. ","")&amp;IF(D289="","Serial missing. ","")&amp;IF(OR(H289="",H289="Undecided"),"No disposition. ","")&amp;IF(AND(H289="Ship",J289="",K289=""),"Shipping but no container/vehicle. ","")&amp;IF(AND(J289&lt;&gt;"",K289&lt;&gt;""),"In both a container and a vehicle. ","")&amp;IF(AND(H289="Ship",L289=""),"No destination. ","")&amp;IF(AND(J289&lt;&gt;"",L289&lt;&gt;"",IFERROR(VLOOKUP(J289,Containers!$A$5:$F$60,6,FALSE()),L289)&lt;&gt;L289),"Destination differs from container. ","")&amp;IF(AND(K289&lt;&gt;"",L289&lt;&gt;"",IFERROR(VLOOKUP(K289,Vehicles!$A$5:$F$60,6,FALSE()),L289)&lt;&gt;L289),"Destination differs from vehicle. ","")&amp;IF(AND(H289="Stay",OR(J289&lt;&gt;"",K289&lt;&gt;"",L289&lt;&gt;"")),"Marked Stay but has a container/vehicle/destination. ","")&amp;IF(G289="Missing","Reported missing. ","")&amp;IF(AND(P289&lt;&gt;"",N(P289)&lt;0),"Service overdue. ","")))</f>
        <v/>
      </c>
      <c r="S289" s="17" t="str">
        <f aca="false">IF(A289="","",IF(CHOOSE(MATCH(Find!$C$4,Lists!$K$2:$K$7,0),F289,E289,J289,K289,L289,G289)=Find!$C$5,MAX(S$4:S288)+1,""))</f>
        <v/>
      </c>
      <c r="T289" s="17" t="str">
        <f aca="false">IF(A289="","",IF(OR(J289=Manifest!$C$4,K289=Manifest!$C$4),MAX(T$4:T288)+1,""))</f>
        <v/>
      </c>
    </row>
    <row r="290" customFormat="false" ht="15" hidden="false" customHeight="false" outlineLevel="0" collapsed="false">
      <c r="C290" s="14"/>
      <c r="E290" s="14"/>
      <c r="F290" s="14"/>
      <c r="G290" s="14"/>
      <c r="H290" s="14"/>
      <c r="M290" s="12"/>
      <c r="O290" s="15" t="str">
        <f aca="false">IF(OR(M290="",N290=""),"",M290+N290)</f>
        <v/>
      </c>
      <c r="P290" s="16" t="str">
        <f aca="true">IF(O290="","",O290-TODAY())</f>
        <v/>
      </c>
      <c r="Q290" s="17" t="str">
        <f aca="false">IF(A290="","",TRIM(IF(E290="","No owner. ","")&amp;IF(F290="","No storage location. ","")&amp;IF(D290="","Serial missing. ","")&amp;IF(OR(H290="",H290="Undecided"),"No disposition. ","")&amp;IF(AND(H290="Ship",J290="",K290=""),"Shipping but no container/vehicle. ","")&amp;IF(AND(J290&lt;&gt;"",K290&lt;&gt;""),"In both a container and a vehicle. ","")&amp;IF(AND(H290="Ship",L290=""),"No destination. ","")&amp;IF(AND(J290&lt;&gt;"",L290&lt;&gt;"",IFERROR(VLOOKUP(J290,Containers!$A$5:$F$60,6,FALSE()),L290)&lt;&gt;L290),"Destination differs from container. ","")&amp;IF(AND(K290&lt;&gt;"",L290&lt;&gt;"",IFERROR(VLOOKUP(K290,Vehicles!$A$5:$F$60,6,FALSE()),L290)&lt;&gt;L290),"Destination differs from vehicle. ","")&amp;IF(AND(H290="Stay",OR(J290&lt;&gt;"",K290&lt;&gt;"",L290&lt;&gt;"")),"Marked Stay but has a container/vehicle/destination. ","")&amp;IF(G290="Missing","Reported missing. ","")&amp;IF(AND(P290&lt;&gt;"",N(P290)&lt;0),"Service overdue. ","")))</f>
        <v/>
      </c>
      <c r="S290" s="17" t="str">
        <f aca="false">IF(A290="","",IF(CHOOSE(MATCH(Find!$C$4,Lists!$K$2:$K$7,0),F290,E290,J290,K290,L290,G290)=Find!$C$5,MAX(S$4:S289)+1,""))</f>
        <v/>
      </c>
      <c r="T290" s="17" t="str">
        <f aca="false">IF(A290="","",IF(OR(J290=Manifest!$C$4,K290=Manifest!$C$4),MAX(T$4:T289)+1,""))</f>
        <v/>
      </c>
    </row>
    <row r="291" customFormat="false" ht="15" hidden="false" customHeight="false" outlineLevel="0" collapsed="false">
      <c r="C291" s="14"/>
      <c r="E291" s="14"/>
      <c r="F291" s="14"/>
      <c r="G291" s="14"/>
      <c r="H291" s="14"/>
      <c r="M291" s="12"/>
      <c r="O291" s="15" t="str">
        <f aca="false">IF(OR(M291="",N291=""),"",M291+N291)</f>
        <v/>
      </c>
      <c r="P291" s="16" t="str">
        <f aca="true">IF(O291="","",O291-TODAY())</f>
        <v/>
      </c>
      <c r="Q291" s="17" t="str">
        <f aca="false">IF(A291="","",TRIM(IF(E291="","No owner. ","")&amp;IF(F291="","No storage location. ","")&amp;IF(D291="","Serial missing. ","")&amp;IF(OR(H291="",H291="Undecided"),"No disposition. ","")&amp;IF(AND(H291="Ship",J291="",K291=""),"Shipping but no container/vehicle. ","")&amp;IF(AND(J291&lt;&gt;"",K291&lt;&gt;""),"In both a container and a vehicle. ","")&amp;IF(AND(H291="Ship",L291=""),"No destination. ","")&amp;IF(AND(J291&lt;&gt;"",L291&lt;&gt;"",IFERROR(VLOOKUP(J291,Containers!$A$5:$F$60,6,FALSE()),L291)&lt;&gt;L291),"Destination differs from container. ","")&amp;IF(AND(K291&lt;&gt;"",L291&lt;&gt;"",IFERROR(VLOOKUP(K291,Vehicles!$A$5:$F$60,6,FALSE()),L291)&lt;&gt;L291),"Destination differs from vehicle. ","")&amp;IF(AND(H291="Stay",OR(J291&lt;&gt;"",K291&lt;&gt;"",L291&lt;&gt;"")),"Marked Stay but has a container/vehicle/destination. ","")&amp;IF(G291="Missing","Reported missing. ","")&amp;IF(AND(P291&lt;&gt;"",N(P291)&lt;0),"Service overdue. ","")))</f>
        <v/>
      </c>
      <c r="S291" s="17" t="str">
        <f aca="false">IF(A291="","",IF(CHOOSE(MATCH(Find!$C$4,Lists!$K$2:$K$7,0),F291,E291,J291,K291,L291,G291)=Find!$C$5,MAX(S$4:S290)+1,""))</f>
        <v/>
      </c>
      <c r="T291" s="17" t="str">
        <f aca="false">IF(A291="","",IF(OR(J291=Manifest!$C$4,K291=Manifest!$C$4),MAX(T$4:T290)+1,""))</f>
        <v/>
      </c>
    </row>
    <row r="292" customFormat="false" ht="15" hidden="false" customHeight="false" outlineLevel="0" collapsed="false">
      <c r="C292" s="14"/>
      <c r="E292" s="14"/>
      <c r="F292" s="14"/>
      <c r="G292" s="14"/>
      <c r="H292" s="14"/>
      <c r="M292" s="12"/>
      <c r="O292" s="15" t="str">
        <f aca="false">IF(OR(M292="",N292=""),"",M292+N292)</f>
        <v/>
      </c>
      <c r="P292" s="16" t="str">
        <f aca="true">IF(O292="","",O292-TODAY())</f>
        <v/>
      </c>
      <c r="Q292" s="17" t="str">
        <f aca="false">IF(A292="","",TRIM(IF(E292="","No owner. ","")&amp;IF(F292="","No storage location. ","")&amp;IF(D292="","Serial missing. ","")&amp;IF(OR(H292="",H292="Undecided"),"No disposition. ","")&amp;IF(AND(H292="Ship",J292="",K292=""),"Shipping but no container/vehicle. ","")&amp;IF(AND(J292&lt;&gt;"",K292&lt;&gt;""),"In both a container and a vehicle. ","")&amp;IF(AND(H292="Ship",L292=""),"No destination. ","")&amp;IF(AND(J292&lt;&gt;"",L292&lt;&gt;"",IFERROR(VLOOKUP(J292,Containers!$A$5:$F$60,6,FALSE()),L292)&lt;&gt;L292),"Destination differs from container. ","")&amp;IF(AND(K292&lt;&gt;"",L292&lt;&gt;"",IFERROR(VLOOKUP(K292,Vehicles!$A$5:$F$60,6,FALSE()),L292)&lt;&gt;L292),"Destination differs from vehicle. ","")&amp;IF(AND(H292="Stay",OR(J292&lt;&gt;"",K292&lt;&gt;"",L292&lt;&gt;"")),"Marked Stay but has a container/vehicle/destination. ","")&amp;IF(G292="Missing","Reported missing. ","")&amp;IF(AND(P292&lt;&gt;"",N(P292)&lt;0),"Service overdue. ","")))</f>
        <v/>
      </c>
      <c r="S292" s="17" t="str">
        <f aca="false">IF(A292="","",IF(CHOOSE(MATCH(Find!$C$4,Lists!$K$2:$K$7,0),F292,E292,J292,K292,L292,G292)=Find!$C$5,MAX(S$4:S291)+1,""))</f>
        <v/>
      </c>
      <c r="T292" s="17" t="str">
        <f aca="false">IF(A292="","",IF(OR(J292=Manifest!$C$4,K292=Manifest!$C$4),MAX(T$4:T291)+1,""))</f>
        <v/>
      </c>
    </row>
    <row r="293" customFormat="false" ht="15" hidden="false" customHeight="false" outlineLevel="0" collapsed="false">
      <c r="C293" s="14"/>
      <c r="E293" s="14"/>
      <c r="F293" s="14"/>
      <c r="G293" s="14"/>
      <c r="H293" s="14"/>
      <c r="M293" s="12"/>
      <c r="O293" s="15" t="str">
        <f aca="false">IF(OR(M293="",N293=""),"",M293+N293)</f>
        <v/>
      </c>
      <c r="P293" s="16" t="str">
        <f aca="true">IF(O293="","",O293-TODAY())</f>
        <v/>
      </c>
      <c r="Q293" s="17" t="str">
        <f aca="false">IF(A293="","",TRIM(IF(E293="","No owner. ","")&amp;IF(F293="","No storage location. ","")&amp;IF(D293="","Serial missing. ","")&amp;IF(OR(H293="",H293="Undecided"),"No disposition. ","")&amp;IF(AND(H293="Ship",J293="",K293=""),"Shipping but no container/vehicle. ","")&amp;IF(AND(J293&lt;&gt;"",K293&lt;&gt;""),"In both a container and a vehicle. ","")&amp;IF(AND(H293="Ship",L293=""),"No destination. ","")&amp;IF(AND(J293&lt;&gt;"",L293&lt;&gt;"",IFERROR(VLOOKUP(J293,Containers!$A$5:$F$60,6,FALSE()),L293)&lt;&gt;L293),"Destination differs from container. ","")&amp;IF(AND(K293&lt;&gt;"",L293&lt;&gt;"",IFERROR(VLOOKUP(K293,Vehicles!$A$5:$F$60,6,FALSE()),L293)&lt;&gt;L293),"Destination differs from vehicle. ","")&amp;IF(AND(H293="Stay",OR(J293&lt;&gt;"",K293&lt;&gt;"",L293&lt;&gt;"")),"Marked Stay but has a container/vehicle/destination. ","")&amp;IF(G293="Missing","Reported missing. ","")&amp;IF(AND(P293&lt;&gt;"",N(P293)&lt;0),"Service overdue. ","")))</f>
        <v/>
      </c>
      <c r="S293" s="17" t="str">
        <f aca="false">IF(A293="","",IF(CHOOSE(MATCH(Find!$C$4,Lists!$K$2:$K$7,0),F293,E293,J293,K293,L293,G293)=Find!$C$5,MAX(S$4:S292)+1,""))</f>
        <v/>
      </c>
      <c r="T293" s="17" t="str">
        <f aca="false">IF(A293="","",IF(OR(J293=Manifest!$C$4,K293=Manifest!$C$4),MAX(T$4:T292)+1,""))</f>
        <v/>
      </c>
    </row>
    <row r="294" customFormat="false" ht="15" hidden="false" customHeight="false" outlineLevel="0" collapsed="false">
      <c r="C294" s="14"/>
      <c r="E294" s="14"/>
      <c r="F294" s="14"/>
      <c r="G294" s="14"/>
      <c r="H294" s="14"/>
      <c r="M294" s="12"/>
      <c r="O294" s="15" t="str">
        <f aca="false">IF(OR(M294="",N294=""),"",M294+N294)</f>
        <v/>
      </c>
      <c r="P294" s="16" t="str">
        <f aca="true">IF(O294="","",O294-TODAY())</f>
        <v/>
      </c>
      <c r="Q294" s="17" t="str">
        <f aca="false">IF(A294="","",TRIM(IF(E294="","No owner. ","")&amp;IF(F294="","No storage location. ","")&amp;IF(D294="","Serial missing. ","")&amp;IF(OR(H294="",H294="Undecided"),"No disposition. ","")&amp;IF(AND(H294="Ship",J294="",K294=""),"Shipping but no container/vehicle. ","")&amp;IF(AND(J294&lt;&gt;"",K294&lt;&gt;""),"In both a container and a vehicle. ","")&amp;IF(AND(H294="Ship",L294=""),"No destination. ","")&amp;IF(AND(J294&lt;&gt;"",L294&lt;&gt;"",IFERROR(VLOOKUP(J294,Containers!$A$5:$F$60,6,FALSE()),L294)&lt;&gt;L294),"Destination differs from container. ","")&amp;IF(AND(K294&lt;&gt;"",L294&lt;&gt;"",IFERROR(VLOOKUP(K294,Vehicles!$A$5:$F$60,6,FALSE()),L294)&lt;&gt;L294),"Destination differs from vehicle. ","")&amp;IF(AND(H294="Stay",OR(J294&lt;&gt;"",K294&lt;&gt;"",L294&lt;&gt;"")),"Marked Stay but has a container/vehicle/destination. ","")&amp;IF(G294="Missing","Reported missing. ","")&amp;IF(AND(P294&lt;&gt;"",N(P294)&lt;0),"Service overdue. ","")))</f>
        <v/>
      </c>
      <c r="S294" s="17" t="str">
        <f aca="false">IF(A294="","",IF(CHOOSE(MATCH(Find!$C$4,Lists!$K$2:$K$7,0),F294,E294,J294,K294,L294,G294)=Find!$C$5,MAX(S$4:S293)+1,""))</f>
        <v/>
      </c>
      <c r="T294" s="17" t="str">
        <f aca="false">IF(A294="","",IF(OR(J294=Manifest!$C$4,K294=Manifest!$C$4),MAX(T$4:T293)+1,""))</f>
        <v/>
      </c>
    </row>
    <row r="295" customFormat="false" ht="15" hidden="false" customHeight="false" outlineLevel="0" collapsed="false">
      <c r="C295" s="14"/>
      <c r="E295" s="14"/>
      <c r="F295" s="14"/>
      <c r="G295" s="14"/>
      <c r="H295" s="14"/>
      <c r="M295" s="12"/>
      <c r="O295" s="15" t="str">
        <f aca="false">IF(OR(M295="",N295=""),"",M295+N295)</f>
        <v/>
      </c>
      <c r="P295" s="16" t="str">
        <f aca="true">IF(O295="","",O295-TODAY())</f>
        <v/>
      </c>
      <c r="Q295" s="17" t="str">
        <f aca="false">IF(A295="","",TRIM(IF(E295="","No owner. ","")&amp;IF(F295="","No storage location. ","")&amp;IF(D295="","Serial missing. ","")&amp;IF(OR(H295="",H295="Undecided"),"No disposition. ","")&amp;IF(AND(H295="Ship",J295="",K295=""),"Shipping but no container/vehicle. ","")&amp;IF(AND(J295&lt;&gt;"",K295&lt;&gt;""),"In both a container and a vehicle. ","")&amp;IF(AND(H295="Ship",L295=""),"No destination. ","")&amp;IF(AND(J295&lt;&gt;"",L295&lt;&gt;"",IFERROR(VLOOKUP(J295,Containers!$A$5:$F$60,6,FALSE()),L295)&lt;&gt;L295),"Destination differs from container. ","")&amp;IF(AND(K295&lt;&gt;"",L295&lt;&gt;"",IFERROR(VLOOKUP(K295,Vehicles!$A$5:$F$60,6,FALSE()),L295)&lt;&gt;L295),"Destination differs from vehicle. ","")&amp;IF(AND(H295="Stay",OR(J295&lt;&gt;"",K295&lt;&gt;"",L295&lt;&gt;"")),"Marked Stay but has a container/vehicle/destination. ","")&amp;IF(G295="Missing","Reported missing. ","")&amp;IF(AND(P295&lt;&gt;"",N(P295)&lt;0),"Service overdue. ","")))</f>
        <v/>
      </c>
      <c r="S295" s="17" t="str">
        <f aca="false">IF(A295="","",IF(CHOOSE(MATCH(Find!$C$4,Lists!$K$2:$K$7,0),F295,E295,J295,K295,L295,G295)=Find!$C$5,MAX(S$4:S294)+1,""))</f>
        <v/>
      </c>
      <c r="T295" s="17" t="str">
        <f aca="false">IF(A295="","",IF(OR(J295=Manifest!$C$4,K295=Manifest!$C$4),MAX(T$4:T294)+1,""))</f>
        <v/>
      </c>
    </row>
    <row r="296" customFormat="false" ht="15" hidden="false" customHeight="false" outlineLevel="0" collapsed="false">
      <c r="C296" s="14"/>
      <c r="E296" s="14"/>
      <c r="F296" s="14"/>
      <c r="G296" s="14"/>
      <c r="H296" s="14"/>
      <c r="M296" s="12"/>
      <c r="O296" s="15" t="str">
        <f aca="false">IF(OR(M296="",N296=""),"",M296+N296)</f>
        <v/>
      </c>
      <c r="P296" s="16" t="str">
        <f aca="true">IF(O296="","",O296-TODAY())</f>
        <v/>
      </c>
      <c r="Q296" s="17" t="str">
        <f aca="false">IF(A296="","",TRIM(IF(E296="","No owner. ","")&amp;IF(F296="","No storage location. ","")&amp;IF(D296="","Serial missing. ","")&amp;IF(OR(H296="",H296="Undecided"),"No disposition. ","")&amp;IF(AND(H296="Ship",J296="",K296=""),"Shipping but no container/vehicle. ","")&amp;IF(AND(J296&lt;&gt;"",K296&lt;&gt;""),"In both a container and a vehicle. ","")&amp;IF(AND(H296="Ship",L296=""),"No destination. ","")&amp;IF(AND(J296&lt;&gt;"",L296&lt;&gt;"",IFERROR(VLOOKUP(J296,Containers!$A$5:$F$60,6,FALSE()),L296)&lt;&gt;L296),"Destination differs from container. ","")&amp;IF(AND(K296&lt;&gt;"",L296&lt;&gt;"",IFERROR(VLOOKUP(K296,Vehicles!$A$5:$F$60,6,FALSE()),L296)&lt;&gt;L296),"Destination differs from vehicle. ","")&amp;IF(AND(H296="Stay",OR(J296&lt;&gt;"",K296&lt;&gt;"",L296&lt;&gt;"")),"Marked Stay but has a container/vehicle/destination. ","")&amp;IF(G296="Missing","Reported missing. ","")&amp;IF(AND(P296&lt;&gt;"",N(P296)&lt;0),"Service overdue. ","")))</f>
        <v/>
      </c>
      <c r="S296" s="17" t="str">
        <f aca="false">IF(A296="","",IF(CHOOSE(MATCH(Find!$C$4,Lists!$K$2:$K$7,0),F296,E296,J296,K296,L296,G296)=Find!$C$5,MAX(S$4:S295)+1,""))</f>
        <v/>
      </c>
      <c r="T296" s="17" t="str">
        <f aca="false">IF(A296="","",IF(OR(J296=Manifest!$C$4,K296=Manifest!$C$4),MAX(T$4:T295)+1,""))</f>
        <v/>
      </c>
    </row>
    <row r="297" customFormat="false" ht="15" hidden="false" customHeight="false" outlineLevel="0" collapsed="false">
      <c r="C297" s="14"/>
      <c r="E297" s="14"/>
      <c r="F297" s="14"/>
      <c r="G297" s="14"/>
      <c r="H297" s="14"/>
      <c r="M297" s="12"/>
      <c r="O297" s="15" t="str">
        <f aca="false">IF(OR(M297="",N297=""),"",M297+N297)</f>
        <v/>
      </c>
      <c r="P297" s="16" t="str">
        <f aca="true">IF(O297="","",O297-TODAY())</f>
        <v/>
      </c>
      <c r="Q297" s="17" t="str">
        <f aca="false">IF(A297="","",TRIM(IF(E297="","No owner. ","")&amp;IF(F297="","No storage location. ","")&amp;IF(D297="","Serial missing. ","")&amp;IF(OR(H297="",H297="Undecided"),"No disposition. ","")&amp;IF(AND(H297="Ship",J297="",K297=""),"Shipping but no container/vehicle. ","")&amp;IF(AND(J297&lt;&gt;"",K297&lt;&gt;""),"In both a container and a vehicle. ","")&amp;IF(AND(H297="Ship",L297=""),"No destination. ","")&amp;IF(AND(J297&lt;&gt;"",L297&lt;&gt;"",IFERROR(VLOOKUP(J297,Containers!$A$5:$F$60,6,FALSE()),L297)&lt;&gt;L297),"Destination differs from container. ","")&amp;IF(AND(K297&lt;&gt;"",L297&lt;&gt;"",IFERROR(VLOOKUP(K297,Vehicles!$A$5:$F$60,6,FALSE()),L297)&lt;&gt;L297),"Destination differs from vehicle. ","")&amp;IF(AND(H297="Stay",OR(J297&lt;&gt;"",K297&lt;&gt;"",L297&lt;&gt;"")),"Marked Stay but has a container/vehicle/destination. ","")&amp;IF(G297="Missing","Reported missing. ","")&amp;IF(AND(P297&lt;&gt;"",N(P297)&lt;0),"Service overdue. ","")))</f>
        <v/>
      </c>
      <c r="S297" s="17" t="str">
        <f aca="false">IF(A297="","",IF(CHOOSE(MATCH(Find!$C$4,Lists!$K$2:$K$7,0),F297,E297,J297,K297,L297,G297)=Find!$C$5,MAX(S$4:S296)+1,""))</f>
        <v/>
      </c>
      <c r="T297" s="17" t="str">
        <f aca="false">IF(A297="","",IF(OR(J297=Manifest!$C$4,K297=Manifest!$C$4),MAX(T$4:T296)+1,""))</f>
        <v/>
      </c>
    </row>
    <row r="298" customFormat="false" ht="15" hidden="false" customHeight="false" outlineLevel="0" collapsed="false">
      <c r="C298" s="14"/>
      <c r="E298" s="14"/>
      <c r="F298" s="14"/>
      <c r="G298" s="14"/>
      <c r="H298" s="14"/>
      <c r="M298" s="12"/>
      <c r="O298" s="15" t="str">
        <f aca="false">IF(OR(M298="",N298=""),"",M298+N298)</f>
        <v/>
      </c>
      <c r="P298" s="16" t="str">
        <f aca="true">IF(O298="","",O298-TODAY())</f>
        <v/>
      </c>
      <c r="Q298" s="17" t="str">
        <f aca="false">IF(A298="","",TRIM(IF(E298="","No owner. ","")&amp;IF(F298="","No storage location. ","")&amp;IF(D298="","Serial missing. ","")&amp;IF(OR(H298="",H298="Undecided"),"No disposition. ","")&amp;IF(AND(H298="Ship",J298="",K298=""),"Shipping but no container/vehicle. ","")&amp;IF(AND(J298&lt;&gt;"",K298&lt;&gt;""),"In both a container and a vehicle. ","")&amp;IF(AND(H298="Ship",L298=""),"No destination. ","")&amp;IF(AND(J298&lt;&gt;"",L298&lt;&gt;"",IFERROR(VLOOKUP(J298,Containers!$A$5:$F$60,6,FALSE()),L298)&lt;&gt;L298),"Destination differs from container. ","")&amp;IF(AND(K298&lt;&gt;"",L298&lt;&gt;"",IFERROR(VLOOKUP(K298,Vehicles!$A$5:$F$60,6,FALSE()),L298)&lt;&gt;L298),"Destination differs from vehicle. ","")&amp;IF(AND(H298="Stay",OR(J298&lt;&gt;"",K298&lt;&gt;"",L298&lt;&gt;"")),"Marked Stay but has a container/vehicle/destination. ","")&amp;IF(G298="Missing","Reported missing. ","")&amp;IF(AND(P298&lt;&gt;"",N(P298)&lt;0),"Service overdue. ","")))</f>
        <v/>
      </c>
      <c r="S298" s="17" t="str">
        <f aca="false">IF(A298="","",IF(CHOOSE(MATCH(Find!$C$4,Lists!$K$2:$K$7,0),F298,E298,J298,K298,L298,G298)=Find!$C$5,MAX(S$4:S297)+1,""))</f>
        <v/>
      </c>
      <c r="T298" s="17" t="str">
        <f aca="false">IF(A298="","",IF(OR(J298=Manifest!$C$4,K298=Manifest!$C$4),MAX(T$4:T297)+1,""))</f>
        <v/>
      </c>
    </row>
    <row r="299" customFormat="false" ht="15" hidden="false" customHeight="false" outlineLevel="0" collapsed="false">
      <c r="C299" s="14"/>
      <c r="E299" s="14"/>
      <c r="F299" s="14"/>
      <c r="G299" s="14"/>
      <c r="H299" s="14"/>
      <c r="M299" s="12"/>
      <c r="O299" s="15" t="str">
        <f aca="false">IF(OR(M299="",N299=""),"",M299+N299)</f>
        <v/>
      </c>
      <c r="P299" s="16" t="str">
        <f aca="true">IF(O299="","",O299-TODAY())</f>
        <v/>
      </c>
      <c r="Q299" s="17" t="str">
        <f aca="false">IF(A299="","",TRIM(IF(E299="","No owner. ","")&amp;IF(F299="","No storage location. ","")&amp;IF(D299="","Serial missing. ","")&amp;IF(OR(H299="",H299="Undecided"),"No disposition. ","")&amp;IF(AND(H299="Ship",J299="",K299=""),"Shipping but no container/vehicle. ","")&amp;IF(AND(J299&lt;&gt;"",K299&lt;&gt;""),"In both a container and a vehicle. ","")&amp;IF(AND(H299="Ship",L299=""),"No destination. ","")&amp;IF(AND(J299&lt;&gt;"",L299&lt;&gt;"",IFERROR(VLOOKUP(J299,Containers!$A$5:$F$60,6,FALSE()),L299)&lt;&gt;L299),"Destination differs from container. ","")&amp;IF(AND(K299&lt;&gt;"",L299&lt;&gt;"",IFERROR(VLOOKUP(K299,Vehicles!$A$5:$F$60,6,FALSE()),L299)&lt;&gt;L299),"Destination differs from vehicle. ","")&amp;IF(AND(H299="Stay",OR(J299&lt;&gt;"",K299&lt;&gt;"",L299&lt;&gt;"")),"Marked Stay but has a container/vehicle/destination. ","")&amp;IF(G299="Missing","Reported missing. ","")&amp;IF(AND(P299&lt;&gt;"",N(P299)&lt;0),"Service overdue. ","")))</f>
        <v/>
      </c>
      <c r="S299" s="17" t="str">
        <f aca="false">IF(A299="","",IF(CHOOSE(MATCH(Find!$C$4,Lists!$K$2:$K$7,0),F299,E299,J299,K299,L299,G299)=Find!$C$5,MAX(S$4:S298)+1,""))</f>
        <v/>
      </c>
      <c r="T299" s="17" t="str">
        <f aca="false">IF(A299="","",IF(OR(J299=Manifest!$C$4,K299=Manifest!$C$4),MAX(T$4:T298)+1,""))</f>
        <v/>
      </c>
    </row>
    <row r="300" customFormat="false" ht="15" hidden="false" customHeight="false" outlineLevel="0" collapsed="false">
      <c r="C300" s="14"/>
      <c r="E300" s="14"/>
      <c r="F300" s="14"/>
      <c r="G300" s="14"/>
      <c r="H300" s="14"/>
      <c r="M300" s="12"/>
      <c r="O300" s="15" t="str">
        <f aca="false">IF(OR(M300="",N300=""),"",M300+N300)</f>
        <v/>
      </c>
      <c r="P300" s="16" t="str">
        <f aca="true">IF(O300="","",O300-TODAY())</f>
        <v/>
      </c>
      <c r="Q300" s="17" t="str">
        <f aca="false">IF(A300="","",TRIM(IF(E300="","No owner. ","")&amp;IF(F300="","No storage location. ","")&amp;IF(D300="","Serial missing. ","")&amp;IF(OR(H300="",H300="Undecided"),"No disposition. ","")&amp;IF(AND(H300="Ship",J300="",K300=""),"Shipping but no container/vehicle. ","")&amp;IF(AND(J300&lt;&gt;"",K300&lt;&gt;""),"In both a container and a vehicle. ","")&amp;IF(AND(H300="Ship",L300=""),"No destination. ","")&amp;IF(AND(J300&lt;&gt;"",L300&lt;&gt;"",IFERROR(VLOOKUP(J300,Containers!$A$5:$F$60,6,FALSE()),L300)&lt;&gt;L300),"Destination differs from container. ","")&amp;IF(AND(K300&lt;&gt;"",L300&lt;&gt;"",IFERROR(VLOOKUP(K300,Vehicles!$A$5:$F$60,6,FALSE()),L300)&lt;&gt;L300),"Destination differs from vehicle. ","")&amp;IF(AND(H300="Stay",OR(J300&lt;&gt;"",K300&lt;&gt;"",L300&lt;&gt;"")),"Marked Stay but has a container/vehicle/destination. ","")&amp;IF(G300="Missing","Reported missing. ","")&amp;IF(AND(P300&lt;&gt;"",N(P300)&lt;0),"Service overdue. ","")))</f>
        <v/>
      </c>
      <c r="S300" s="17" t="str">
        <f aca="false">IF(A300="","",IF(CHOOSE(MATCH(Find!$C$4,Lists!$K$2:$K$7,0),F300,E300,J300,K300,L300,G300)=Find!$C$5,MAX(S$4:S299)+1,""))</f>
        <v/>
      </c>
      <c r="T300" s="17" t="str">
        <f aca="false">IF(A300="","",IF(OR(J300=Manifest!$C$4,K300=Manifest!$C$4),MAX(T$4:T299)+1,""))</f>
        <v/>
      </c>
    </row>
    <row r="301" customFormat="false" ht="15" hidden="false" customHeight="false" outlineLevel="0" collapsed="false">
      <c r="C301" s="14"/>
      <c r="E301" s="14"/>
      <c r="F301" s="14"/>
      <c r="G301" s="14"/>
      <c r="H301" s="14"/>
      <c r="M301" s="12"/>
      <c r="O301" s="15" t="str">
        <f aca="false">IF(OR(M301="",N301=""),"",M301+N301)</f>
        <v/>
      </c>
      <c r="P301" s="16" t="str">
        <f aca="true">IF(O301="","",O301-TODAY())</f>
        <v/>
      </c>
      <c r="Q301" s="17" t="str">
        <f aca="false">IF(A301="","",TRIM(IF(E301="","No owner. ","")&amp;IF(F301="","No storage location. ","")&amp;IF(D301="","Serial missing. ","")&amp;IF(OR(H301="",H301="Undecided"),"No disposition. ","")&amp;IF(AND(H301="Ship",J301="",K301=""),"Shipping but no container/vehicle. ","")&amp;IF(AND(J301&lt;&gt;"",K301&lt;&gt;""),"In both a container and a vehicle. ","")&amp;IF(AND(H301="Ship",L301=""),"No destination. ","")&amp;IF(AND(J301&lt;&gt;"",L301&lt;&gt;"",IFERROR(VLOOKUP(J301,Containers!$A$5:$F$60,6,FALSE()),L301)&lt;&gt;L301),"Destination differs from container. ","")&amp;IF(AND(K301&lt;&gt;"",L301&lt;&gt;"",IFERROR(VLOOKUP(K301,Vehicles!$A$5:$F$60,6,FALSE()),L301)&lt;&gt;L301),"Destination differs from vehicle. ","")&amp;IF(AND(H301="Stay",OR(J301&lt;&gt;"",K301&lt;&gt;"",L301&lt;&gt;"")),"Marked Stay but has a container/vehicle/destination. ","")&amp;IF(G301="Missing","Reported missing. ","")&amp;IF(AND(P301&lt;&gt;"",N(P301)&lt;0),"Service overdue. ","")))</f>
        <v/>
      </c>
      <c r="S301" s="17" t="str">
        <f aca="false">IF(A301="","",IF(CHOOSE(MATCH(Find!$C$4,Lists!$K$2:$K$7,0),F301,E301,J301,K301,L301,G301)=Find!$C$5,MAX(S$4:S300)+1,""))</f>
        <v/>
      </c>
      <c r="T301" s="17" t="str">
        <f aca="false">IF(A301="","",IF(OR(J301=Manifest!$C$4,K301=Manifest!$C$4),MAX(T$4:T300)+1,""))</f>
        <v/>
      </c>
    </row>
    <row r="302" customFormat="false" ht="15" hidden="false" customHeight="false" outlineLevel="0" collapsed="false">
      <c r="C302" s="14"/>
      <c r="E302" s="14"/>
      <c r="F302" s="14"/>
      <c r="G302" s="14"/>
      <c r="H302" s="14"/>
      <c r="M302" s="12"/>
      <c r="O302" s="15" t="str">
        <f aca="false">IF(OR(M302="",N302=""),"",M302+N302)</f>
        <v/>
      </c>
      <c r="P302" s="16" t="str">
        <f aca="true">IF(O302="","",O302-TODAY())</f>
        <v/>
      </c>
      <c r="Q302" s="17" t="str">
        <f aca="false">IF(A302="","",TRIM(IF(E302="","No owner. ","")&amp;IF(F302="","No storage location. ","")&amp;IF(D302="","Serial missing. ","")&amp;IF(OR(H302="",H302="Undecided"),"No disposition. ","")&amp;IF(AND(H302="Ship",J302="",K302=""),"Shipping but no container/vehicle. ","")&amp;IF(AND(J302&lt;&gt;"",K302&lt;&gt;""),"In both a container and a vehicle. ","")&amp;IF(AND(H302="Ship",L302=""),"No destination. ","")&amp;IF(AND(J302&lt;&gt;"",L302&lt;&gt;"",IFERROR(VLOOKUP(J302,Containers!$A$5:$F$60,6,FALSE()),L302)&lt;&gt;L302),"Destination differs from container. ","")&amp;IF(AND(K302&lt;&gt;"",L302&lt;&gt;"",IFERROR(VLOOKUP(K302,Vehicles!$A$5:$F$60,6,FALSE()),L302)&lt;&gt;L302),"Destination differs from vehicle. ","")&amp;IF(AND(H302="Stay",OR(J302&lt;&gt;"",K302&lt;&gt;"",L302&lt;&gt;"")),"Marked Stay but has a container/vehicle/destination. ","")&amp;IF(G302="Missing","Reported missing. ","")&amp;IF(AND(P302&lt;&gt;"",N(P302)&lt;0),"Service overdue. ","")))</f>
        <v/>
      </c>
      <c r="S302" s="17" t="str">
        <f aca="false">IF(A302="","",IF(CHOOSE(MATCH(Find!$C$4,Lists!$K$2:$K$7,0),F302,E302,J302,K302,L302,G302)=Find!$C$5,MAX(S$4:S301)+1,""))</f>
        <v/>
      </c>
      <c r="T302" s="17" t="str">
        <f aca="false">IF(A302="","",IF(OR(J302=Manifest!$C$4,K302=Manifest!$C$4),MAX(T$4:T301)+1,""))</f>
        <v/>
      </c>
    </row>
    <row r="303" customFormat="false" ht="15" hidden="false" customHeight="false" outlineLevel="0" collapsed="false">
      <c r="C303" s="14"/>
      <c r="E303" s="14"/>
      <c r="F303" s="14"/>
      <c r="G303" s="14"/>
      <c r="H303" s="14"/>
      <c r="M303" s="12"/>
      <c r="O303" s="15" t="str">
        <f aca="false">IF(OR(M303="",N303=""),"",M303+N303)</f>
        <v/>
      </c>
      <c r="P303" s="16" t="str">
        <f aca="true">IF(O303="","",O303-TODAY())</f>
        <v/>
      </c>
      <c r="Q303" s="17" t="str">
        <f aca="false">IF(A303="","",TRIM(IF(E303="","No owner. ","")&amp;IF(F303="","No storage location. ","")&amp;IF(D303="","Serial missing. ","")&amp;IF(OR(H303="",H303="Undecided"),"No disposition. ","")&amp;IF(AND(H303="Ship",J303="",K303=""),"Shipping but no container/vehicle. ","")&amp;IF(AND(J303&lt;&gt;"",K303&lt;&gt;""),"In both a container and a vehicle. ","")&amp;IF(AND(H303="Ship",L303=""),"No destination. ","")&amp;IF(AND(J303&lt;&gt;"",L303&lt;&gt;"",IFERROR(VLOOKUP(J303,Containers!$A$5:$F$60,6,FALSE()),L303)&lt;&gt;L303),"Destination differs from container. ","")&amp;IF(AND(K303&lt;&gt;"",L303&lt;&gt;"",IFERROR(VLOOKUP(K303,Vehicles!$A$5:$F$60,6,FALSE()),L303)&lt;&gt;L303),"Destination differs from vehicle. ","")&amp;IF(AND(H303="Stay",OR(J303&lt;&gt;"",K303&lt;&gt;"",L303&lt;&gt;"")),"Marked Stay but has a container/vehicle/destination. ","")&amp;IF(G303="Missing","Reported missing. ","")&amp;IF(AND(P303&lt;&gt;"",N(P303)&lt;0),"Service overdue. ","")))</f>
        <v/>
      </c>
      <c r="S303" s="17" t="str">
        <f aca="false">IF(A303="","",IF(CHOOSE(MATCH(Find!$C$4,Lists!$K$2:$K$7,0),F303,E303,J303,K303,L303,G303)=Find!$C$5,MAX(S$4:S302)+1,""))</f>
        <v/>
      </c>
      <c r="T303" s="17" t="str">
        <f aca="false">IF(A303="","",IF(OR(J303=Manifest!$C$4,K303=Manifest!$C$4),MAX(T$4:T302)+1,""))</f>
        <v/>
      </c>
    </row>
    <row r="304" customFormat="false" ht="15" hidden="false" customHeight="false" outlineLevel="0" collapsed="false">
      <c r="C304" s="14"/>
      <c r="E304" s="14"/>
      <c r="F304" s="14"/>
      <c r="G304" s="14"/>
      <c r="H304" s="14"/>
      <c r="M304" s="12"/>
      <c r="O304" s="15" t="str">
        <f aca="false">IF(OR(M304="",N304=""),"",M304+N304)</f>
        <v/>
      </c>
      <c r="P304" s="16" t="str">
        <f aca="true">IF(O304="","",O304-TODAY())</f>
        <v/>
      </c>
      <c r="Q304" s="17" t="str">
        <f aca="false">IF(A304="","",TRIM(IF(E304="","No owner. ","")&amp;IF(F304="","No storage location. ","")&amp;IF(D304="","Serial missing. ","")&amp;IF(OR(H304="",H304="Undecided"),"No disposition. ","")&amp;IF(AND(H304="Ship",J304="",K304=""),"Shipping but no container/vehicle. ","")&amp;IF(AND(J304&lt;&gt;"",K304&lt;&gt;""),"In both a container and a vehicle. ","")&amp;IF(AND(H304="Ship",L304=""),"No destination. ","")&amp;IF(AND(J304&lt;&gt;"",L304&lt;&gt;"",IFERROR(VLOOKUP(J304,Containers!$A$5:$F$60,6,FALSE()),L304)&lt;&gt;L304),"Destination differs from container. ","")&amp;IF(AND(K304&lt;&gt;"",L304&lt;&gt;"",IFERROR(VLOOKUP(K304,Vehicles!$A$5:$F$60,6,FALSE()),L304)&lt;&gt;L304),"Destination differs from vehicle. ","")&amp;IF(AND(H304="Stay",OR(J304&lt;&gt;"",K304&lt;&gt;"",L304&lt;&gt;"")),"Marked Stay but has a container/vehicle/destination. ","")&amp;IF(G304="Missing","Reported missing. ","")&amp;IF(AND(P304&lt;&gt;"",N(P304)&lt;0),"Service overdue. ","")))</f>
        <v/>
      </c>
      <c r="S304" s="17" t="str">
        <f aca="false">IF(A304="","",IF(CHOOSE(MATCH(Find!$C$4,Lists!$K$2:$K$7,0),F304,E304,J304,K304,L304,G304)=Find!$C$5,MAX(S$4:S303)+1,""))</f>
        <v/>
      </c>
      <c r="T304" s="17" t="str">
        <f aca="false">IF(A304="","",IF(OR(J304=Manifest!$C$4,K304=Manifest!$C$4),MAX(T$4:T303)+1,""))</f>
        <v/>
      </c>
    </row>
    <row r="305" customFormat="false" ht="15" hidden="false" customHeight="false" outlineLevel="0" collapsed="false">
      <c r="C305" s="14"/>
      <c r="E305" s="14"/>
      <c r="F305" s="14"/>
      <c r="G305" s="14"/>
      <c r="H305" s="14"/>
      <c r="M305" s="12"/>
      <c r="O305" s="15" t="str">
        <f aca="false">IF(OR(M305="",N305=""),"",M305+N305)</f>
        <v/>
      </c>
      <c r="P305" s="16" t="str">
        <f aca="true">IF(O305="","",O305-TODAY())</f>
        <v/>
      </c>
      <c r="Q305" s="17" t="str">
        <f aca="false">IF(A305="","",TRIM(IF(E305="","No owner. ","")&amp;IF(F305="","No storage location. ","")&amp;IF(D305="","Serial missing. ","")&amp;IF(OR(H305="",H305="Undecided"),"No disposition. ","")&amp;IF(AND(H305="Ship",J305="",K305=""),"Shipping but no container/vehicle. ","")&amp;IF(AND(J305&lt;&gt;"",K305&lt;&gt;""),"In both a container and a vehicle. ","")&amp;IF(AND(H305="Ship",L305=""),"No destination. ","")&amp;IF(AND(J305&lt;&gt;"",L305&lt;&gt;"",IFERROR(VLOOKUP(J305,Containers!$A$5:$F$60,6,FALSE()),L305)&lt;&gt;L305),"Destination differs from container. ","")&amp;IF(AND(K305&lt;&gt;"",L305&lt;&gt;"",IFERROR(VLOOKUP(K305,Vehicles!$A$5:$F$60,6,FALSE()),L305)&lt;&gt;L305),"Destination differs from vehicle. ","")&amp;IF(AND(H305="Stay",OR(J305&lt;&gt;"",K305&lt;&gt;"",L305&lt;&gt;"")),"Marked Stay but has a container/vehicle/destination. ","")&amp;IF(G305="Missing","Reported missing. ","")&amp;IF(AND(P305&lt;&gt;"",N(P305)&lt;0),"Service overdue. ","")))</f>
        <v/>
      </c>
      <c r="S305" s="17" t="str">
        <f aca="false">IF(A305="","",IF(CHOOSE(MATCH(Find!$C$4,Lists!$K$2:$K$7,0),F305,E305,J305,K305,L305,G305)=Find!$C$5,MAX(S$4:S304)+1,""))</f>
        <v/>
      </c>
      <c r="T305" s="17" t="str">
        <f aca="false">IF(A305="","",IF(OR(J305=Manifest!$C$4,K305=Manifest!$C$4),MAX(T$4:T304)+1,""))</f>
        <v/>
      </c>
    </row>
    <row r="306" customFormat="false" ht="15" hidden="false" customHeight="false" outlineLevel="0" collapsed="false">
      <c r="C306" s="14"/>
      <c r="E306" s="14"/>
      <c r="F306" s="14"/>
      <c r="G306" s="14"/>
      <c r="H306" s="14"/>
      <c r="M306" s="12"/>
      <c r="O306" s="15" t="str">
        <f aca="false">IF(OR(M306="",N306=""),"",M306+N306)</f>
        <v/>
      </c>
      <c r="P306" s="16" t="str">
        <f aca="true">IF(O306="","",O306-TODAY())</f>
        <v/>
      </c>
      <c r="Q306" s="17" t="str">
        <f aca="false">IF(A306="","",TRIM(IF(E306="","No owner. ","")&amp;IF(F306="","No storage location. ","")&amp;IF(D306="","Serial missing. ","")&amp;IF(OR(H306="",H306="Undecided"),"No disposition. ","")&amp;IF(AND(H306="Ship",J306="",K306=""),"Shipping but no container/vehicle. ","")&amp;IF(AND(J306&lt;&gt;"",K306&lt;&gt;""),"In both a container and a vehicle. ","")&amp;IF(AND(H306="Ship",L306=""),"No destination. ","")&amp;IF(AND(J306&lt;&gt;"",L306&lt;&gt;"",IFERROR(VLOOKUP(J306,Containers!$A$5:$F$60,6,FALSE()),L306)&lt;&gt;L306),"Destination differs from container. ","")&amp;IF(AND(K306&lt;&gt;"",L306&lt;&gt;"",IFERROR(VLOOKUP(K306,Vehicles!$A$5:$F$60,6,FALSE()),L306)&lt;&gt;L306),"Destination differs from vehicle. ","")&amp;IF(AND(H306="Stay",OR(J306&lt;&gt;"",K306&lt;&gt;"",L306&lt;&gt;"")),"Marked Stay but has a container/vehicle/destination. ","")&amp;IF(G306="Missing","Reported missing. ","")&amp;IF(AND(P306&lt;&gt;"",N(P306)&lt;0),"Service overdue. ","")))</f>
        <v/>
      </c>
      <c r="S306" s="17" t="str">
        <f aca="false">IF(A306="","",IF(CHOOSE(MATCH(Find!$C$4,Lists!$K$2:$K$7,0),F306,E306,J306,K306,L306,G306)=Find!$C$5,MAX(S$4:S305)+1,""))</f>
        <v/>
      </c>
      <c r="T306" s="17" t="str">
        <f aca="false">IF(A306="","",IF(OR(J306=Manifest!$C$4,K306=Manifest!$C$4),MAX(T$4:T305)+1,""))</f>
        <v/>
      </c>
    </row>
    <row r="307" customFormat="false" ht="15" hidden="false" customHeight="false" outlineLevel="0" collapsed="false">
      <c r="C307" s="14"/>
      <c r="E307" s="14"/>
      <c r="F307" s="14"/>
      <c r="G307" s="14"/>
      <c r="H307" s="14"/>
      <c r="M307" s="12"/>
      <c r="O307" s="15" t="str">
        <f aca="false">IF(OR(M307="",N307=""),"",M307+N307)</f>
        <v/>
      </c>
      <c r="P307" s="16" t="str">
        <f aca="true">IF(O307="","",O307-TODAY())</f>
        <v/>
      </c>
      <c r="Q307" s="17" t="str">
        <f aca="false">IF(A307="","",TRIM(IF(E307="","No owner. ","")&amp;IF(F307="","No storage location. ","")&amp;IF(D307="","Serial missing. ","")&amp;IF(OR(H307="",H307="Undecided"),"No disposition. ","")&amp;IF(AND(H307="Ship",J307="",K307=""),"Shipping but no container/vehicle. ","")&amp;IF(AND(J307&lt;&gt;"",K307&lt;&gt;""),"In both a container and a vehicle. ","")&amp;IF(AND(H307="Ship",L307=""),"No destination. ","")&amp;IF(AND(J307&lt;&gt;"",L307&lt;&gt;"",IFERROR(VLOOKUP(J307,Containers!$A$5:$F$60,6,FALSE()),L307)&lt;&gt;L307),"Destination differs from container. ","")&amp;IF(AND(K307&lt;&gt;"",L307&lt;&gt;"",IFERROR(VLOOKUP(K307,Vehicles!$A$5:$F$60,6,FALSE()),L307)&lt;&gt;L307),"Destination differs from vehicle. ","")&amp;IF(AND(H307="Stay",OR(J307&lt;&gt;"",K307&lt;&gt;"",L307&lt;&gt;"")),"Marked Stay but has a container/vehicle/destination. ","")&amp;IF(G307="Missing","Reported missing. ","")&amp;IF(AND(P307&lt;&gt;"",N(P307)&lt;0),"Service overdue. ","")))</f>
        <v/>
      </c>
      <c r="S307" s="17" t="str">
        <f aca="false">IF(A307="","",IF(CHOOSE(MATCH(Find!$C$4,Lists!$K$2:$K$7,0),F307,E307,J307,K307,L307,G307)=Find!$C$5,MAX(S$4:S306)+1,""))</f>
        <v/>
      </c>
      <c r="T307" s="17" t="str">
        <f aca="false">IF(A307="","",IF(OR(J307=Manifest!$C$4,K307=Manifest!$C$4),MAX(T$4:T306)+1,""))</f>
        <v/>
      </c>
    </row>
    <row r="308" customFormat="false" ht="15" hidden="false" customHeight="false" outlineLevel="0" collapsed="false">
      <c r="C308" s="14"/>
      <c r="E308" s="14"/>
      <c r="F308" s="14"/>
      <c r="G308" s="14"/>
      <c r="H308" s="14"/>
      <c r="M308" s="12"/>
      <c r="O308" s="15" t="str">
        <f aca="false">IF(OR(M308="",N308=""),"",M308+N308)</f>
        <v/>
      </c>
      <c r="P308" s="16" t="str">
        <f aca="true">IF(O308="","",O308-TODAY())</f>
        <v/>
      </c>
      <c r="Q308" s="17" t="str">
        <f aca="false">IF(A308="","",TRIM(IF(E308="","No owner. ","")&amp;IF(F308="","No storage location. ","")&amp;IF(D308="","Serial missing. ","")&amp;IF(OR(H308="",H308="Undecided"),"No disposition. ","")&amp;IF(AND(H308="Ship",J308="",K308=""),"Shipping but no container/vehicle. ","")&amp;IF(AND(J308&lt;&gt;"",K308&lt;&gt;""),"In both a container and a vehicle. ","")&amp;IF(AND(H308="Ship",L308=""),"No destination. ","")&amp;IF(AND(J308&lt;&gt;"",L308&lt;&gt;"",IFERROR(VLOOKUP(J308,Containers!$A$5:$F$60,6,FALSE()),L308)&lt;&gt;L308),"Destination differs from container. ","")&amp;IF(AND(K308&lt;&gt;"",L308&lt;&gt;"",IFERROR(VLOOKUP(K308,Vehicles!$A$5:$F$60,6,FALSE()),L308)&lt;&gt;L308),"Destination differs from vehicle. ","")&amp;IF(AND(H308="Stay",OR(J308&lt;&gt;"",K308&lt;&gt;"",L308&lt;&gt;"")),"Marked Stay but has a container/vehicle/destination. ","")&amp;IF(G308="Missing","Reported missing. ","")&amp;IF(AND(P308&lt;&gt;"",N(P308)&lt;0),"Service overdue. ","")))</f>
        <v/>
      </c>
      <c r="S308" s="17" t="str">
        <f aca="false">IF(A308="","",IF(CHOOSE(MATCH(Find!$C$4,Lists!$K$2:$K$7,0),F308,E308,J308,K308,L308,G308)=Find!$C$5,MAX(S$4:S307)+1,""))</f>
        <v/>
      </c>
      <c r="T308" s="17" t="str">
        <f aca="false">IF(A308="","",IF(OR(J308=Manifest!$C$4,K308=Manifest!$C$4),MAX(T$4:T307)+1,""))</f>
        <v/>
      </c>
    </row>
    <row r="309" customFormat="false" ht="15" hidden="false" customHeight="false" outlineLevel="0" collapsed="false">
      <c r="C309" s="14"/>
      <c r="E309" s="14"/>
      <c r="F309" s="14"/>
      <c r="G309" s="14"/>
      <c r="H309" s="14"/>
      <c r="M309" s="12"/>
      <c r="O309" s="15" t="str">
        <f aca="false">IF(OR(M309="",N309=""),"",M309+N309)</f>
        <v/>
      </c>
      <c r="P309" s="16" t="str">
        <f aca="true">IF(O309="","",O309-TODAY())</f>
        <v/>
      </c>
      <c r="Q309" s="17" t="str">
        <f aca="false">IF(A309="","",TRIM(IF(E309="","No owner. ","")&amp;IF(F309="","No storage location. ","")&amp;IF(D309="","Serial missing. ","")&amp;IF(OR(H309="",H309="Undecided"),"No disposition. ","")&amp;IF(AND(H309="Ship",J309="",K309=""),"Shipping but no container/vehicle. ","")&amp;IF(AND(J309&lt;&gt;"",K309&lt;&gt;""),"In both a container and a vehicle. ","")&amp;IF(AND(H309="Ship",L309=""),"No destination. ","")&amp;IF(AND(J309&lt;&gt;"",L309&lt;&gt;"",IFERROR(VLOOKUP(J309,Containers!$A$5:$F$60,6,FALSE()),L309)&lt;&gt;L309),"Destination differs from container. ","")&amp;IF(AND(K309&lt;&gt;"",L309&lt;&gt;"",IFERROR(VLOOKUP(K309,Vehicles!$A$5:$F$60,6,FALSE()),L309)&lt;&gt;L309),"Destination differs from vehicle. ","")&amp;IF(AND(H309="Stay",OR(J309&lt;&gt;"",K309&lt;&gt;"",L309&lt;&gt;"")),"Marked Stay but has a container/vehicle/destination. ","")&amp;IF(G309="Missing","Reported missing. ","")&amp;IF(AND(P309&lt;&gt;"",N(P309)&lt;0),"Service overdue. ","")))</f>
        <v/>
      </c>
      <c r="S309" s="17" t="str">
        <f aca="false">IF(A309="","",IF(CHOOSE(MATCH(Find!$C$4,Lists!$K$2:$K$7,0),F309,E309,J309,K309,L309,G309)=Find!$C$5,MAX(S$4:S308)+1,""))</f>
        <v/>
      </c>
      <c r="T309" s="17" t="str">
        <f aca="false">IF(A309="","",IF(OR(J309=Manifest!$C$4,K309=Manifest!$C$4),MAX(T$4:T308)+1,""))</f>
        <v/>
      </c>
    </row>
    <row r="310" customFormat="false" ht="15" hidden="false" customHeight="false" outlineLevel="0" collapsed="false">
      <c r="C310" s="14"/>
      <c r="E310" s="14"/>
      <c r="F310" s="14"/>
      <c r="G310" s="14"/>
      <c r="H310" s="14"/>
      <c r="M310" s="12"/>
      <c r="O310" s="15" t="str">
        <f aca="false">IF(OR(M310="",N310=""),"",M310+N310)</f>
        <v/>
      </c>
      <c r="P310" s="16" t="str">
        <f aca="true">IF(O310="","",O310-TODAY())</f>
        <v/>
      </c>
      <c r="Q310" s="17" t="str">
        <f aca="false">IF(A310="","",TRIM(IF(E310="","No owner. ","")&amp;IF(F310="","No storage location. ","")&amp;IF(D310="","Serial missing. ","")&amp;IF(OR(H310="",H310="Undecided"),"No disposition. ","")&amp;IF(AND(H310="Ship",J310="",K310=""),"Shipping but no container/vehicle. ","")&amp;IF(AND(J310&lt;&gt;"",K310&lt;&gt;""),"In both a container and a vehicle. ","")&amp;IF(AND(H310="Ship",L310=""),"No destination. ","")&amp;IF(AND(J310&lt;&gt;"",L310&lt;&gt;"",IFERROR(VLOOKUP(J310,Containers!$A$5:$F$60,6,FALSE()),L310)&lt;&gt;L310),"Destination differs from container. ","")&amp;IF(AND(K310&lt;&gt;"",L310&lt;&gt;"",IFERROR(VLOOKUP(K310,Vehicles!$A$5:$F$60,6,FALSE()),L310)&lt;&gt;L310),"Destination differs from vehicle. ","")&amp;IF(AND(H310="Stay",OR(J310&lt;&gt;"",K310&lt;&gt;"",L310&lt;&gt;"")),"Marked Stay but has a container/vehicle/destination. ","")&amp;IF(G310="Missing","Reported missing. ","")&amp;IF(AND(P310&lt;&gt;"",N(P310)&lt;0),"Service overdue. ","")))</f>
        <v/>
      </c>
      <c r="S310" s="17" t="str">
        <f aca="false">IF(A310="","",IF(CHOOSE(MATCH(Find!$C$4,Lists!$K$2:$K$7,0),F310,E310,J310,K310,L310,G310)=Find!$C$5,MAX(S$4:S309)+1,""))</f>
        <v/>
      </c>
      <c r="T310" s="17" t="str">
        <f aca="false">IF(A310="","",IF(OR(J310=Manifest!$C$4,K310=Manifest!$C$4),MAX(T$4:T309)+1,""))</f>
        <v/>
      </c>
    </row>
    <row r="311" customFormat="false" ht="15" hidden="false" customHeight="false" outlineLevel="0" collapsed="false">
      <c r="C311" s="14"/>
      <c r="E311" s="14"/>
      <c r="F311" s="14"/>
      <c r="G311" s="14"/>
      <c r="H311" s="14"/>
      <c r="M311" s="12"/>
      <c r="O311" s="15" t="str">
        <f aca="false">IF(OR(M311="",N311=""),"",M311+N311)</f>
        <v/>
      </c>
      <c r="P311" s="16" t="str">
        <f aca="true">IF(O311="","",O311-TODAY())</f>
        <v/>
      </c>
      <c r="Q311" s="17" t="str">
        <f aca="false">IF(A311="","",TRIM(IF(E311="","No owner. ","")&amp;IF(F311="","No storage location. ","")&amp;IF(D311="","Serial missing. ","")&amp;IF(OR(H311="",H311="Undecided"),"No disposition. ","")&amp;IF(AND(H311="Ship",J311="",K311=""),"Shipping but no container/vehicle. ","")&amp;IF(AND(J311&lt;&gt;"",K311&lt;&gt;""),"In both a container and a vehicle. ","")&amp;IF(AND(H311="Ship",L311=""),"No destination. ","")&amp;IF(AND(J311&lt;&gt;"",L311&lt;&gt;"",IFERROR(VLOOKUP(J311,Containers!$A$5:$F$60,6,FALSE()),L311)&lt;&gt;L311),"Destination differs from container. ","")&amp;IF(AND(K311&lt;&gt;"",L311&lt;&gt;"",IFERROR(VLOOKUP(K311,Vehicles!$A$5:$F$60,6,FALSE()),L311)&lt;&gt;L311),"Destination differs from vehicle. ","")&amp;IF(AND(H311="Stay",OR(J311&lt;&gt;"",K311&lt;&gt;"",L311&lt;&gt;"")),"Marked Stay but has a container/vehicle/destination. ","")&amp;IF(G311="Missing","Reported missing. ","")&amp;IF(AND(P311&lt;&gt;"",N(P311)&lt;0),"Service overdue. ","")))</f>
        <v/>
      </c>
      <c r="S311" s="17" t="str">
        <f aca="false">IF(A311="","",IF(CHOOSE(MATCH(Find!$C$4,Lists!$K$2:$K$7,0),F311,E311,J311,K311,L311,G311)=Find!$C$5,MAX(S$4:S310)+1,""))</f>
        <v/>
      </c>
      <c r="T311" s="17" t="str">
        <f aca="false">IF(A311="","",IF(OR(J311=Manifest!$C$4,K311=Manifest!$C$4),MAX(T$4:T310)+1,""))</f>
        <v/>
      </c>
    </row>
    <row r="312" customFormat="false" ht="15" hidden="false" customHeight="false" outlineLevel="0" collapsed="false">
      <c r="C312" s="14"/>
      <c r="E312" s="14"/>
      <c r="F312" s="14"/>
      <c r="G312" s="14"/>
      <c r="H312" s="14"/>
      <c r="M312" s="12"/>
      <c r="O312" s="15" t="str">
        <f aca="false">IF(OR(M312="",N312=""),"",M312+N312)</f>
        <v/>
      </c>
      <c r="P312" s="16" t="str">
        <f aca="true">IF(O312="","",O312-TODAY())</f>
        <v/>
      </c>
      <c r="Q312" s="17" t="str">
        <f aca="false">IF(A312="","",TRIM(IF(E312="","No owner. ","")&amp;IF(F312="","No storage location. ","")&amp;IF(D312="","Serial missing. ","")&amp;IF(OR(H312="",H312="Undecided"),"No disposition. ","")&amp;IF(AND(H312="Ship",J312="",K312=""),"Shipping but no container/vehicle. ","")&amp;IF(AND(J312&lt;&gt;"",K312&lt;&gt;""),"In both a container and a vehicle. ","")&amp;IF(AND(H312="Ship",L312=""),"No destination. ","")&amp;IF(AND(J312&lt;&gt;"",L312&lt;&gt;"",IFERROR(VLOOKUP(J312,Containers!$A$5:$F$60,6,FALSE()),L312)&lt;&gt;L312),"Destination differs from container. ","")&amp;IF(AND(K312&lt;&gt;"",L312&lt;&gt;"",IFERROR(VLOOKUP(K312,Vehicles!$A$5:$F$60,6,FALSE()),L312)&lt;&gt;L312),"Destination differs from vehicle. ","")&amp;IF(AND(H312="Stay",OR(J312&lt;&gt;"",K312&lt;&gt;"",L312&lt;&gt;"")),"Marked Stay but has a container/vehicle/destination. ","")&amp;IF(G312="Missing","Reported missing. ","")&amp;IF(AND(P312&lt;&gt;"",N(P312)&lt;0),"Service overdue. ","")))</f>
        <v/>
      </c>
      <c r="S312" s="17" t="str">
        <f aca="false">IF(A312="","",IF(CHOOSE(MATCH(Find!$C$4,Lists!$K$2:$K$7,0),F312,E312,J312,K312,L312,G312)=Find!$C$5,MAX(S$4:S311)+1,""))</f>
        <v/>
      </c>
      <c r="T312" s="17" t="str">
        <f aca="false">IF(A312="","",IF(OR(J312=Manifest!$C$4,K312=Manifest!$C$4),MAX(T$4:T311)+1,""))</f>
        <v/>
      </c>
    </row>
    <row r="313" customFormat="false" ht="15" hidden="false" customHeight="false" outlineLevel="0" collapsed="false">
      <c r="C313" s="14"/>
      <c r="E313" s="14"/>
      <c r="F313" s="14"/>
      <c r="G313" s="14"/>
      <c r="H313" s="14"/>
      <c r="M313" s="12"/>
      <c r="O313" s="15" t="str">
        <f aca="false">IF(OR(M313="",N313=""),"",M313+N313)</f>
        <v/>
      </c>
      <c r="P313" s="16" t="str">
        <f aca="true">IF(O313="","",O313-TODAY())</f>
        <v/>
      </c>
      <c r="Q313" s="17" t="str">
        <f aca="false">IF(A313="","",TRIM(IF(E313="","No owner. ","")&amp;IF(F313="","No storage location. ","")&amp;IF(D313="","Serial missing. ","")&amp;IF(OR(H313="",H313="Undecided"),"No disposition. ","")&amp;IF(AND(H313="Ship",J313="",K313=""),"Shipping but no container/vehicle. ","")&amp;IF(AND(J313&lt;&gt;"",K313&lt;&gt;""),"In both a container and a vehicle. ","")&amp;IF(AND(H313="Ship",L313=""),"No destination. ","")&amp;IF(AND(J313&lt;&gt;"",L313&lt;&gt;"",IFERROR(VLOOKUP(J313,Containers!$A$5:$F$60,6,FALSE()),L313)&lt;&gt;L313),"Destination differs from container. ","")&amp;IF(AND(K313&lt;&gt;"",L313&lt;&gt;"",IFERROR(VLOOKUP(K313,Vehicles!$A$5:$F$60,6,FALSE()),L313)&lt;&gt;L313),"Destination differs from vehicle. ","")&amp;IF(AND(H313="Stay",OR(J313&lt;&gt;"",K313&lt;&gt;"",L313&lt;&gt;"")),"Marked Stay but has a container/vehicle/destination. ","")&amp;IF(G313="Missing","Reported missing. ","")&amp;IF(AND(P313&lt;&gt;"",N(P313)&lt;0),"Service overdue. ","")))</f>
        <v/>
      </c>
      <c r="S313" s="17" t="str">
        <f aca="false">IF(A313="","",IF(CHOOSE(MATCH(Find!$C$4,Lists!$K$2:$K$7,0),F313,E313,J313,K313,L313,G313)=Find!$C$5,MAX(S$4:S312)+1,""))</f>
        <v/>
      </c>
      <c r="T313" s="17" t="str">
        <f aca="false">IF(A313="","",IF(OR(J313=Manifest!$C$4,K313=Manifest!$C$4),MAX(T$4:T312)+1,""))</f>
        <v/>
      </c>
    </row>
    <row r="314" customFormat="false" ht="15" hidden="false" customHeight="false" outlineLevel="0" collapsed="false">
      <c r="C314" s="14"/>
      <c r="E314" s="14"/>
      <c r="F314" s="14"/>
      <c r="G314" s="14"/>
      <c r="H314" s="14"/>
      <c r="M314" s="12"/>
      <c r="O314" s="15" t="str">
        <f aca="false">IF(OR(M314="",N314=""),"",M314+N314)</f>
        <v/>
      </c>
      <c r="P314" s="16" t="str">
        <f aca="true">IF(O314="","",O314-TODAY())</f>
        <v/>
      </c>
      <c r="Q314" s="17" t="str">
        <f aca="false">IF(A314="","",TRIM(IF(E314="","No owner. ","")&amp;IF(F314="","No storage location. ","")&amp;IF(D314="","Serial missing. ","")&amp;IF(OR(H314="",H314="Undecided"),"No disposition. ","")&amp;IF(AND(H314="Ship",J314="",K314=""),"Shipping but no container/vehicle. ","")&amp;IF(AND(J314&lt;&gt;"",K314&lt;&gt;""),"In both a container and a vehicle. ","")&amp;IF(AND(H314="Ship",L314=""),"No destination. ","")&amp;IF(AND(J314&lt;&gt;"",L314&lt;&gt;"",IFERROR(VLOOKUP(J314,Containers!$A$5:$F$60,6,FALSE()),L314)&lt;&gt;L314),"Destination differs from container. ","")&amp;IF(AND(K314&lt;&gt;"",L314&lt;&gt;"",IFERROR(VLOOKUP(K314,Vehicles!$A$5:$F$60,6,FALSE()),L314)&lt;&gt;L314),"Destination differs from vehicle. ","")&amp;IF(AND(H314="Stay",OR(J314&lt;&gt;"",K314&lt;&gt;"",L314&lt;&gt;"")),"Marked Stay but has a container/vehicle/destination. ","")&amp;IF(G314="Missing","Reported missing. ","")&amp;IF(AND(P314&lt;&gt;"",N(P314)&lt;0),"Service overdue. ","")))</f>
        <v/>
      </c>
      <c r="S314" s="17" t="str">
        <f aca="false">IF(A314="","",IF(CHOOSE(MATCH(Find!$C$4,Lists!$K$2:$K$7,0),F314,E314,J314,K314,L314,G314)=Find!$C$5,MAX(S$4:S313)+1,""))</f>
        <v/>
      </c>
      <c r="T314" s="17" t="str">
        <f aca="false">IF(A314="","",IF(OR(J314=Manifest!$C$4,K314=Manifest!$C$4),MAX(T$4:T313)+1,""))</f>
        <v/>
      </c>
    </row>
    <row r="315" customFormat="false" ht="15" hidden="false" customHeight="false" outlineLevel="0" collapsed="false">
      <c r="C315" s="14"/>
      <c r="E315" s="14"/>
      <c r="F315" s="14"/>
      <c r="G315" s="14"/>
      <c r="H315" s="14"/>
      <c r="M315" s="12"/>
      <c r="O315" s="15" t="str">
        <f aca="false">IF(OR(M315="",N315=""),"",M315+N315)</f>
        <v/>
      </c>
      <c r="P315" s="16" t="str">
        <f aca="true">IF(O315="","",O315-TODAY())</f>
        <v/>
      </c>
      <c r="Q315" s="17" t="str">
        <f aca="false">IF(A315="","",TRIM(IF(E315="","No owner. ","")&amp;IF(F315="","No storage location. ","")&amp;IF(D315="","Serial missing. ","")&amp;IF(OR(H315="",H315="Undecided"),"No disposition. ","")&amp;IF(AND(H315="Ship",J315="",K315=""),"Shipping but no container/vehicle. ","")&amp;IF(AND(J315&lt;&gt;"",K315&lt;&gt;""),"In both a container and a vehicle. ","")&amp;IF(AND(H315="Ship",L315=""),"No destination. ","")&amp;IF(AND(J315&lt;&gt;"",L315&lt;&gt;"",IFERROR(VLOOKUP(J315,Containers!$A$5:$F$60,6,FALSE()),L315)&lt;&gt;L315),"Destination differs from container. ","")&amp;IF(AND(K315&lt;&gt;"",L315&lt;&gt;"",IFERROR(VLOOKUP(K315,Vehicles!$A$5:$F$60,6,FALSE()),L315)&lt;&gt;L315),"Destination differs from vehicle. ","")&amp;IF(AND(H315="Stay",OR(J315&lt;&gt;"",K315&lt;&gt;"",L315&lt;&gt;"")),"Marked Stay but has a container/vehicle/destination. ","")&amp;IF(G315="Missing","Reported missing. ","")&amp;IF(AND(P315&lt;&gt;"",N(P315)&lt;0),"Service overdue. ","")))</f>
        <v/>
      </c>
      <c r="S315" s="17" t="str">
        <f aca="false">IF(A315="","",IF(CHOOSE(MATCH(Find!$C$4,Lists!$K$2:$K$7,0),F315,E315,J315,K315,L315,G315)=Find!$C$5,MAX(S$4:S314)+1,""))</f>
        <v/>
      </c>
      <c r="T315" s="17" t="str">
        <f aca="false">IF(A315="","",IF(OR(J315=Manifest!$C$4,K315=Manifest!$C$4),MAX(T$4:T314)+1,""))</f>
        <v/>
      </c>
    </row>
    <row r="316" customFormat="false" ht="15" hidden="false" customHeight="false" outlineLevel="0" collapsed="false">
      <c r="C316" s="14"/>
      <c r="E316" s="14"/>
      <c r="F316" s="14"/>
      <c r="G316" s="14"/>
      <c r="H316" s="14"/>
      <c r="M316" s="12"/>
      <c r="O316" s="15" t="str">
        <f aca="false">IF(OR(M316="",N316=""),"",M316+N316)</f>
        <v/>
      </c>
      <c r="P316" s="16" t="str">
        <f aca="true">IF(O316="","",O316-TODAY())</f>
        <v/>
      </c>
      <c r="Q316" s="17" t="str">
        <f aca="false">IF(A316="","",TRIM(IF(E316="","No owner. ","")&amp;IF(F316="","No storage location. ","")&amp;IF(D316="","Serial missing. ","")&amp;IF(OR(H316="",H316="Undecided"),"No disposition. ","")&amp;IF(AND(H316="Ship",J316="",K316=""),"Shipping but no container/vehicle. ","")&amp;IF(AND(J316&lt;&gt;"",K316&lt;&gt;""),"In both a container and a vehicle. ","")&amp;IF(AND(H316="Ship",L316=""),"No destination. ","")&amp;IF(AND(J316&lt;&gt;"",L316&lt;&gt;"",IFERROR(VLOOKUP(J316,Containers!$A$5:$F$60,6,FALSE()),L316)&lt;&gt;L316),"Destination differs from container. ","")&amp;IF(AND(K316&lt;&gt;"",L316&lt;&gt;"",IFERROR(VLOOKUP(K316,Vehicles!$A$5:$F$60,6,FALSE()),L316)&lt;&gt;L316),"Destination differs from vehicle. ","")&amp;IF(AND(H316="Stay",OR(J316&lt;&gt;"",K316&lt;&gt;"",L316&lt;&gt;"")),"Marked Stay but has a container/vehicle/destination. ","")&amp;IF(G316="Missing","Reported missing. ","")&amp;IF(AND(P316&lt;&gt;"",N(P316)&lt;0),"Service overdue. ","")))</f>
        <v/>
      </c>
      <c r="S316" s="17" t="str">
        <f aca="false">IF(A316="","",IF(CHOOSE(MATCH(Find!$C$4,Lists!$K$2:$K$7,0),F316,E316,J316,K316,L316,G316)=Find!$C$5,MAX(S$4:S315)+1,""))</f>
        <v/>
      </c>
      <c r="T316" s="17" t="str">
        <f aca="false">IF(A316="","",IF(OR(J316=Manifest!$C$4,K316=Manifest!$C$4),MAX(T$4:T315)+1,""))</f>
        <v/>
      </c>
    </row>
    <row r="317" customFormat="false" ht="15" hidden="false" customHeight="false" outlineLevel="0" collapsed="false">
      <c r="C317" s="14"/>
      <c r="E317" s="14"/>
      <c r="F317" s="14"/>
      <c r="G317" s="14"/>
      <c r="H317" s="14"/>
      <c r="M317" s="12"/>
      <c r="O317" s="15" t="str">
        <f aca="false">IF(OR(M317="",N317=""),"",M317+N317)</f>
        <v/>
      </c>
      <c r="P317" s="16" t="str">
        <f aca="true">IF(O317="","",O317-TODAY())</f>
        <v/>
      </c>
      <c r="Q317" s="17" t="str">
        <f aca="false">IF(A317="","",TRIM(IF(E317="","No owner. ","")&amp;IF(F317="","No storage location. ","")&amp;IF(D317="","Serial missing. ","")&amp;IF(OR(H317="",H317="Undecided"),"No disposition. ","")&amp;IF(AND(H317="Ship",J317="",K317=""),"Shipping but no container/vehicle. ","")&amp;IF(AND(J317&lt;&gt;"",K317&lt;&gt;""),"In both a container and a vehicle. ","")&amp;IF(AND(H317="Ship",L317=""),"No destination. ","")&amp;IF(AND(J317&lt;&gt;"",L317&lt;&gt;"",IFERROR(VLOOKUP(J317,Containers!$A$5:$F$60,6,FALSE()),L317)&lt;&gt;L317),"Destination differs from container. ","")&amp;IF(AND(K317&lt;&gt;"",L317&lt;&gt;"",IFERROR(VLOOKUP(K317,Vehicles!$A$5:$F$60,6,FALSE()),L317)&lt;&gt;L317),"Destination differs from vehicle. ","")&amp;IF(AND(H317="Stay",OR(J317&lt;&gt;"",K317&lt;&gt;"",L317&lt;&gt;"")),"Marked Stay but has a container/vehicle/destination. ","")&amp;IF(G317="Missing","Reported missing. ","")&amp;IF(AND(P317&lt;&gt;"",N(P317)&lt;0),"Service overdue. ","")))</f>
        <v/>
      </c>
      <c r="S317" s="17" t="str">
        <f aca="false">IF(A317="","",IF(CHOOSE(MATCH(Find!$C$4,Lists!$K$2:$K$7,0),F317,E317,J317,K317,L317,G317)=Find!$C$5,MAX(S$4:S316)+1,""))</f>
        <v/>
      </c>
      <c r="T317" s="17" t="str">
        <f aca="false">IF(A317="","",IF(OR(J317=Manifest!$C$4,K317=Manifest!$C$4),MAX(T$4:T316)+1,""))</f>
        <v/>
      </c>
    </row>
    <row r="318" customFormat="false" ht="15" hidden="false" customHeight="false" outlineLevel="0" collapsed="false">
      <c r="C318" s="14"/>
      <c r="E318" s="14"/>
      <c r="F318" s="14"/>
      <c r="G318" s="14"/>
      <c r="H318" s="14"/>
      <c r="M318" s="12"/>
      <c r="O318" s="15" t="str">
        <f aca="false">IF(OR(M318="",N318=""),"",M318+N318)</f>
        <v/>
      </c>
      <c r="P318" s="16" t="str">
        <f aca="true">IF(O318="","",O318-TODAY())</f>
        <v/>
      </c>
      <c r="Q318" s="17" t="str">
        <f aca="false">IF(A318="","",TRIM(IF(E318="","No owner. ","")&amp;IF(F318="","No storage location. ","")&amp;IF(D318="","Serial missing. ","")&amp;IF(OR(H318="",H318="Undecided"),"No disposition. ","")&amp;IF(AND(H318="Ship",J318="",K318=""),"Shipping but no container/vehicle. ","")&amp;IF(AND(J318&lt;&gt;"",K318&lt;&gt;""),"In both a container and a vehicle. ","")&amp;IF(AND(H318="Ship",L318=""),"No destination. ","")&amp;IF(AND(J318&lt;&gt;"",L318&lt;&gt;"",IFERROR(VLOOKUP(J318,Containers!$A$5:$F$60,6,FALSE()),L318)&lt;&gt;L318),"Destination differs from container. ","")&amp;IF(AND(K318&lt;&gt;"",L318&lt;&gt;"",IFERROR(VLOOKUP(K318,Vehicles!$A$5:$F$60,6,FALSE()),L318)&lt;&gt;L318),"Destination differs from vehicle. ","")&amp;IF(AND(H318="Stay",OR(J318&lt;&gt;"",K318&lt;&gt;"",L318&lt;&gt;"")),"Marked Stay but has a container/vehicle/destination. ","")&amp;IF(G318="Missing","Reported missing. ","")&amp;IF(AND(P318&lt;&gt;"",N(P318)&lt;0),"Service overdue. ","")))</f>
        <v/>
      </c>
      <c r="S318" s="17" t="str">
        <f aca="false">IF(A318="","",IF(CHOOSE(MATCH(Find!$C$4,Lists!$K$2:$K$7,0),F318,E318,J318,K318,L318,G318)=Find!$C$5,MAX(S$4:S317)+1,""))</f>
        <v/>
      </c>
      <c r="T318" s="17" t="str">
        <f aca="false">IF(A318="","",IF(OR(J318=Manifest!$C$4,K318=Manifest!$C$4),MAX(T$4:T317)+1,""))</f>
        <v/>
      </c>
    </row>
    <row r="319" customFormat="false" ht="15" hidden="false" customHeight="false" outlineLevel="0" collapsed="false">
      <c r="C319" s="14"/>
      <c r="E319" s="14"/>
      <c r="F319" s="14"/>
      <c r="G319" s="14"/>
      <c r="H319" s="14"/>
      <c r="M319" s="12"/>
      <c r="O319" s="15" t="str">
        <f aca="false">IF(OR(M319="",N319=""),"",M319+N319)</f>
        <v/>
      </c>
      <c r="P319" s="16" t="str">
        <f aca="true">IF(O319="","",O319-TODAY())</f>
        <v/>
      </c>
      <c r="Q319" s="17" t="str">
        <f aca="false">IF(A319="","",TRIM(IF(E319="","No owner. ","")&amp;IF(F319="","No storage location. ","")&amp;IF(D319="","Serial missing. ","")&amp;IF(OR(H319="",H319="Undecided"),"No disposition. ","")&amp;IF(AND(H319="Ship",J319="",K319=""),"Shipping but no container/vehicle. ","")&amp;IF(AND(J319&lt;&gt;"",K319&lt;&gt;""),"In both a container and a vehicle. ","")&amp;IF(AND(H319="Ship",L319=""),"No destination. ","")&amp;IF(AND(J319&lt;&gt;"",L319&lt;&gt;"",IFERROR(VLOOKUP(J319,Containers!$A$5:$F$60,6,FALSE()),L319)&lt;&gt;L319),"Destination differs from container. ","")&amp;IF(AND(K319&lt;&gt;"",L319&lt;&gt;"",IFERROR(VLOOKUP(K319,Vehicles!$A$5:$F$60,6,FALSE()),L319)&lt;&gt;L319),"Destination differs from vehicle. ","")&amp;IF(AND(H319="Stay",OR(J319&lt;&gt;"",K319&lt;&gt;"",L319&lt;&gt;"")),"Marked Stay but has a container/vehicle/destination. ","")&amp;IF(G319="Missing","Reported missing. ","")&amp;IF(AND(P319&lt;&gt;"",N(P319)&lt;0),"Service overdue. ","")))</f>
        <v/>
      </c>
      <c r="S319" s="17" t="str">
        <f aca="false">IF(A319="","",IF(CHOOSE(MATCH(Find!$C$4,Lists!$K$2:$K$7,0),F319,E319,J319,K319,L319,G319)=Find!$C$5,MAX(S$4:S318)+1,""))</f>
        <v/>
      </c>
      <c r="T319" s="17" t="str">
        <f aca="false">IF(A319="","",IF(OR(J319=Manifest!$C$4,K319=Manifest!$C$4),MAX(T$4:T318)+1,""))</f>
        <v/>
      </c>
    </row>
    <row r="320" customFormat="false" ht="15" hidden="false" customHeight="false" outlineLevel="0" collapsed="false">
      <c r="C320" s="14"/>
      <c r="E320" s="14"/>
      <c r="F320" s="14"/>
      <c r="G320" s="14"/>
      <c r="H320" s="14"/>
      <c r="M320" s="12"/>
      <c r="O320" s="15" t="str">
        <f aca="false">IF(OR(M320="",N320=""),"",M320+N320)</f>
        <v/>
      </c>
      <c r="P320" s="16" t="str">
        <f aca="true">IF(O320="","",O320-TODAY())</f>
        <v/>
      </c>
      <c r="Q320" s="17" t="str">
        <f aca="false">IF(A320="","",TRIM(IF(E320="","No owner. ","")&amp;IF(F320="","No storage location. ","")&amp;IF(D320="","Serial missing. ","")&amp;IF(OR(H320="",H320="Undecided"),"No disposition. ","")&amp;IF(AND(H320="Ship",J320="",K320=""),"Shipping but no container/vehicle. ","")&amp;IF(AND(J320&lt;&gt;"",K320&lt;&gt;""),"In both a container and a vehicle. ","")&amp;IF(AND(H320="Ship",L320=""),"No destination. ","")&amp;IF(AND(J320&lt;&gt;"",L320&lt;&gt;"",IFERROR(VLOOKUP(J320,Containers!$A$5:$F$60,6,FALSE()),L320)&lt;&gt;L320),"Destination differs from container. ","")&amp;IF(AND(K320&lt;&gt;"",L320&lt;&gt;"",IFERROR(VLOOKUP(K320,Vehicles!$A$5:$F$60,6,FALSE()),L320)&lt;&gt;L320),"Destination differs from vehicle. ","")&amp;IF(AND(H320="Stay",OR(J320&lt;&gt;"",K320&lt;&gt;"",L320&lt;&gt;"")),"Marked Stay but has a container/vehicle/destination. ","")&amp;IF(G320="Missing","Reported missing. ","")&amp;IF(AND(P320&lt;&gt;"",N(P320)&lt;0),"Service overdue. ","")))</f>
        <v/>
      </c>
      <c r="S320" s="17" t="str">
        <f aca="false">IF(A320="","",IF(CHOOSE(MATCH(Find!$C$4,Lists!$K$2:$K$7,0),F320,E320,J320,K320,L320,G320)=Find!$C$5,MAX(S$4:S319)+1,""))</f>
        <v/>
      </c>
      <c r="T320" s="17" t="str">
        <f aca="false">IF(A320="","",IF(OR(J320=Manifest!$C$4,K320=Manifest!$C$4),MAX(T$4:T319)+1,""))</f>
        <v/>
      </c>
    </row>
    <row r="321" customFormat="false" ht="15" hidden="false" customHeight="false" outlineLevel="0" collapsed="false">
      <c r="C321" s="14"/>
      <c r="E321" s="14"/>
      <c r="F321" s="14"/>
      <c r="G321" s="14"/>
      <c r="H321" s="14"/>
      <c r="M321" s="12"/>
      <c r="O321" s="15" t="str">
        <f aca="false">IF(OR(M321="",N321=""),"",M321+N321)</f>
        <v/>
      </c>
      <c r="P321" s="16" t="str">
        <f aca="true">IF(O321="","",O321-TODAY())</f>
        <v/>
      </c>
      <c r="Q321" s="17" t="str">
        <f aca="false">IF(A321="","",TRIM(IF(E321="","No owner. ","")&amp;IF(F321="","No storage location. ","")&amp;IF(D321="","Serial missing. ","")&amp;IF(OR(H321="",H321="Undecided"),"No disposition. ","")&amp;IF(AND(H321="Ship",J321="",K321=""),"Shipping but no container/vehicle. ","")&amp;IF(AND(J321&lt;&gt;"",K321&lt;&gt;""),"In both a container and a vehicle. ","")&amp;IF(AND(H321="Ship",L321=""),"No destination. ","")&amp;IF(AND(J321&lt;&gt;"",L321&lt;&gt;"",IFERROR(VLOOKUP(J321,Containers!$A$5:$F$60,6,FALSE()),L321)&lt;&gt;L321),"Destination differs from container. ","")&amp;IF(AND(K321&lt;&gt;"",L321&lt;&gt;"",IFERROR(VLOOKUP(K321,Vehicles!$A$5:$F$60,6,FALSE()),L321)&lt;&gt;L321),"Destination differs from vehicle. ","")&amp;IF(AND(H321="Stay",OR(J321&lt;&gt;"",K321&lt;&gt;"",L321&lt;&gt;"")),"Marked Stay but has a container/vehicle/destination. ","")&amp;IF(G321="Missing","Reported missing. ","")&amp;IF(AND(P321&lt;&gt;"",N(P321)&lt;0),"Service overdue. ","")))</f>
        <v/>
      </c>
      <c r="S321" s="17" t="str">
        <f aca="false">IF(A321="","",IF(CHOOSE(MATCH(Find!$C$4,Lists!$K$2:$K$7,0),F321,E321,J321,K321,L321,G321)=Find!$C$5,MAX(S$4:S320)+1,""))</f>
        <v/>
      </c>
      <c r="T321" s="17" t="str">
        <f aca="false">IF(A321="","",IF(OR(J321=Manifest!$C$4,K321=Manifest!$C$4),MAX(T$4:T320)+1,""))</f>
        <v/>
      </c>
    </row>
    <row r="322" customFormat="false" ht="15" hidden="false" customHeight="false" outlineLevel="0" collapsed="false">
      <c r="C322" s="14"/>
      <c r="E322" s="14"/>
      <c r="F322" s="14"/>
      <c r="G322" s="14"/>
      <c r="H322" s="14"/>
      <c r="M322" s="12"/>
      <c r="O322" s="15" t="str">
        <f aca="false">IF(OR(M322="",N322=""),"",M322+N322)</f>
        <v/>
      </c>
      <c r="P322" s="16" t="str">
        <f aca="true">IF(O322="","",O322-TODAY())</f>
        <v/>
      </c>
      <c r="Q322" s="17" t="str">
        <f aca="false">IF(A322="","",TRIM(IF(E322="","No owner. ","")&amp;IF(F322="","No storage location. ","")&amp;IF(D322="","Serial missing. ","")&amp;IF(OR(H322="",H322="Undecided"),"No disposition. ","")&amp;IF(AND(H322="Ship",J322="",K322=""),"Shipping but no container/vehicle. ","")&amp;IF(AND(J322&lt;&gt;"",K322&lt;&gt;""),"In both a container and a vehicle. ","")&amp;IF(AND(H322="Ship",L322=""),"No destination. ","")&amp;IF(AND(J322&lt;&gt;"",L322&lt;&gt;"",IFERROR(VLOOKUP(J322,Containers!$A$5:$F$60,6,FALSE()),L322)&lt;&gt;L322),"Destination differs from container. ","")&amp;IF(AND(K322&lt;&gt;"",L322&lt;&gt;"",IFERROR(VLOOKUP(K322,Vehicles!$A$5:$F$60,6,FALSE()),L322)&lt;&gt;L322),"Destination differs from vehicle. ","")&amp;IF(AND(H322="Stay",OR(J322&lt;&gt;"",K322&lt;&gt;"",L322&lt;&gt;"")),"Marked Stay but has a container/vehicle/destination. ","")&amp;IF(G322="Missing","Reported missing. ","")&amp;IF(AND(P322&lt;&gt;"",N(P322)&lt;0),"Service overdue. ","")))</f>
        <v/>
      </c>
      <c r="S322" s="17" t="str">
        <f aca="false">IF(A322="","",IF(CHOOSE(MATCH(Find!$C$4,Lists!$K$2:$K$7,0),F322,E322,J322,K322,L322,G322)=Find!$C$5,MAX(S$4:S321)+1,""))</f>
        <v/>
      </c>
      <c r="T322" s="17" t="str">
        <f aca="false">IF(A322="","",IF(OR(J322=Manifest!$C$4,K322=Manifest!$C$4),MAX(T$4:T321)+1,""))</f>
        <v/>
      </c>
    </row>
    <row r="323" customFormat="false" ht="15" hidden="false" customHeight="false" outlineLevel="0" collapsed="false">
      <c r="C323" s="14"/>
      <c r="E323" s="14"/>
      <c r="F323" s="14"/>
      <c r="G323" s="14"/>
      <c r="H323" s="14"/>
      <c r="M323" s="12"/>
      <c r="O323" s="15" t="str">
        <f aca="false">IF(OR(M323="",N323=""),"",M323+N323)</f>
        <v/>
      </c>
      <c r="P323" s="16" t="str">
        <f aca="true">IF(O323="","",O323-TODAY())</f>
        <v/>
      </c>
      <c r="Q323" s="17" t="str">
        <f aca="false">IF(A323="","",TRIM(IF(E323="","No owner. ","")&amp;IF(F323="","No storage location. ","")&amp;IF(D323="","Serial missing. ","")&amp;IF(OR(H323="",H323="Undecided"),"No disposition. ","")&amp;IF(AND(H323="Ship",J323="",K323=""),"Shipping but no container/vehicle. ","")&amp;IF(AND(J323&lt;&gt;"",K323&lt;&gt;""),"In both a container and a vehicle. ","")&amp;IF(AND(H323="Ship",L323=""),"No destination. ","")&amp;IF(AND(J323&lt;&gt;"",L323&lt;&gt;"",IFERROR(VLOOKUP(J323,Containers!$A$5:$F$60,6,FALSE()),L323)&lt;&gt;L323),"Destination differs from container. ","")&amp;IF(AND(K323&lt;&gt;"",L323&lt;&gt;"",IFERROR(VLOOKUP(K323,Vehicles!$A$5:$F$60,6,FALSE()),L323)&lt;&gt;L323),"Destination differs from vehicle. ","")&amp;IF(AND(H323="Stay",OR(J323&lt;&gt;"",K323&lt;&gt;"",L323&lt;&gt;"")),"Marked Stay but has a container/vehicle/destination. ","")&amp;IF(G323="Missing","Reported missing. ","")&amp;IF(AND(P323&lt;&gt;"",N(P323)&lt;0),"Service overdue. ","")))</f>
        <v/>
      </c>
      <c r="S323" s="17" t="str">
        <f aca="false">IF(A323="","",IF(CHOOSE(MATCH(Find!$C$4,Lists!$K$2:$K$7,0),F323,E323,J323,K323,L323,G323)=Find!$C$5,MAX(S$4:S322)+1,""))</f>
        <v/>
      </c>
      <c r="T323" s="17" t="str">
        <f aca="false">IF(A323="","",IF(OR(J323=Manifest!$C$4,K323=Manifest!$C$4),MAX(T$4:T322)+1,""))</f>
        <v/>
      </c>
    </row>
    <row r="324" customFormat="false" ht="15" hidden="false" customHeight="false" outlineLevel="0" collapsed="false">
      <c r="C324" s="14"/>
      <c r="E324" s="14"/>
      <c r="F324" s="14"/>
      <c r="G324" s="14"/>
      <c r="H324" s="14"/>
      <c r="M324" s="12"/>
      <c r="O324" s="15" t="str">
        <f aca="false">IF(OR(M324="",N324=""),"",M324+N324)</f>
        <v/>
      </c>
      <c r="P324" s="16" t="str">
        <f aca="true">IF(O324="","",O324-TODAY())</f>
        <v/>
      </c>
      <c r="Q324" s="17" t="str">
        <f aca="false">IF(A324="","",TRIM(IF(E324="","No owner. ","")&amp;IF(F324="","No storage location. ","")&amp;IF(D324="","Serial missing. ","")&amp;IF(OR(H324="",H324="Undecided"),"No disposition. ","")&amp;IF(AND(H324="Ship",J324="",K324=""),"Shipping but no container/vehicle. ","")&amp;IF(AND(J324&lt;&gt;"",K324&lt;&gt;""),"In both a container and a vehicle. ","")&amp;IF(AND(H324="Ship",L324=""),"No destination. ","")&amp;IF(AND(J324&lt;&gt;"",L324&lt;&gt;"",IFERROR(VLOOKUP(J324,Containers!$A$5:$F$60,6,FALSE()),L324)&lt;&gt;L324),"Destination differs from container. ","")&amp;IF(AND(K324&lt;&gt;"",L324&lt;&gt;"",IFERROR(VLOOKUP(K324,Vehicles!$A$5:$F$60,6,FALSE()),L324)&lt;&gt;L324),"Destination differs from vehicle. ","")&amp;IF(AND(H324="Stay",OR(J324&lt;&gt;"",K324&lt;&gt;"",L324&lt;&gt;"")),"Marked Stay but has a container/vehicle/destination. ","")&amp;IF(G324="Missing","Reported missing. ","")&amp;IF(AND(P324&lt;&gt;"",N(P324)&lt;0),"Service overdue. ","")))</f>
        <v/>
      </c>
      <c r="S324" s="17" t="str">
        <f aca="false">IF(A324="","",IF(CHOOSE(MATCH(Find!$C$4,Lists!$K$2:$K$7,0),F324,E324,J324,K324,L324,G324)=Find!$C$5,MAX(S$4:S323)+1,""))</f>
        <v/>
      </c>
      <c r="T324" s="17" t="str">
        <f aca="false">IF(A324="","",IF(OR(J324=Manifest!$C$4,K324=Manifest!$C$4),MAX(T$4:T323)+1,""))</f>
        <v/>
      </c>
    </row>
    <row r="325" customFormat="false" ht="15" hidden="false" customHeight="false" outlineLevel="0" collapsed="false">
      <c r="C325" s="14"/>
      <c r="E325" s="14"/>
      <c r="F325" s="14"/>
      <c r="G325" s="14"/>
      <c r="H325" s="14"/>
      <c r="M325" s="12"/>
      <c r="O325" s="15" t="str">
        <f aca="false">IF(OR(M325="",N325=""),"",M325+N325)</f>
        <v/>
      </c>
      <c r="P325" s="16" t="str">
        <f aca="true">IF(O325="","",O325-TODAY())</f>
        <v/>
      </c>
      <c r="Q325" s="17" t="str">
        <f aca="false">IF(A325="","",TRIM(IF(E325="","No owner. ","")&amp;IF(F325="","No storage location. ","")&amp;IF(D325="","Serial missing. ","")&amp;IF(OR(H325="",H325="Undecided"),"No disposition. ","")&amp;IF(AND(H325="Ship",J325="",K325=""),"Shipping but no container/vehicle. ","")&amp;IF(AND(J325&lt;&gt;"",K325&lt;&gt;""),"In both a container and a vehicle. ","")&amp;IF(AND(H325="Ship",L325=""),"No destination. ","")&amp;IF(AND(J325&lt;&gt;"",L325&lt;&gt;"",IFERROR(VLOOKUP(J325,Containers!$A$5:$F$60,6,FALSE()),L325)&lt;&gt;L325),"Destination differs from container. ","")&amp;IF(AND(K325&lt;&gt;"",L325&lt;&gt;"",IFERROR(VLOOKUP(K325,Vehicles!$A$5:$F$60,6,FALSE()),L325)&lt;&gt;L325),"Destination differs from vehicle. ","")&amp;IF(AND(H325="Stay",OR(J325&lt;&gt;"",K325&lt;&gt;"",L325&lt;&gt;"")),"Marked Stay but has a container/vehicle/destination. ","")&amp;IF(G325="Missing","Reported missing. ","")&amp;IF(AND(P325&lt;&gt;"",N(P325)&lt;0),"Service overdue. ","")))</f>
        <v/>
      </c>
      <c r="S325" s="17" t="str">
        <f aca="false">IF(A325="","",IF(CHOOSE(MATCH(Find!$C$4,Lists!$K$2:$K$7,0),F325,E325,J325,K325,L325,G325)=Find!$C$5,MAX(S$4:S324)+1,""))</f>
        <v/>
      </c>
      <c r="T325" s="17" t="str">
        <f aca="false">IF(A325="","",IF(OR(J325=Manifest!$C$4,K325=Manifest!$C$4),MAX(T$4:T324)+1,""))</f>
        <v/>
      </c>
    </row>
    <row r="326" customFormat="false" ht="15" hidden="false" customHeight="false" outlineLevel="0" collapsed="false">
      <c r="C326" s="14"/>
      <c r="E326" s="14"/>
      <c r="F326" s="14"/>
      <c r="G326" s="14"/>
      <c r="H326" s="14"/>
      <c r="M326" s="12"/>
      <c r="O326" s="15" t="str">
        <f aca="false">IF(OR(M326="",N326=""),"",M326+N326)</f>
        <v/>
      </c>
      <c r="P326" s="16" t="str">
        <f aca="true">IF(O326="","",O326-TODAY())</f>
        <v/>
      </c>
      <c r="Q326" s="17" t="str">
        <f aca="false">IF(A326="","",TRIM(IF(E326="","No owner. ","")&amp;IF(F326="","No storage location. ","")&amp;IF(D326="","Serial missing. ","")&amp;IF(OR(H326="",H326="Undecided"),"No disposition. ","")&amp;IF(AND(H326="Ship",J326="",K326=""),"Shipping but no container/vehicle. ","")&amp;IF(AND(J326&lt;&gt;"",K326&lt;&gt;""),"In both a container and a vehicle. ","")&amp;IF(AND(H326="Ship",L326=""),"No destination. ","")&amp;IF(AND(J326&lt;&gt;"",L326&lt;&gt;"",IFERROR(VLOOKUP(J326,Containers!$A$5:$F$60,6,FALSE()),L326)&lt;&gt;L326),"Destination differs from container. ","")&amp;IF(AND(K326&lt;&gt;"",L326&lt;&gt;"",IFERROR(VLOOKUP(K326,Vehicles!$A$5:$F$60,6,FALSE()),L326)&lt;&gt;L326),"Destination differs from vehicle. ","")&amp;IF(AND(H326="Stay",OR(J326&lt;&gt;"",K326&lt;&gt;"",L326&lt;&gt;"")),"Marked Stay but has a container/vehicle/destination. ","")&amp;IF(G326="Missing","Reported missing. ","")&amp;IF(AND(P326&lt;&gt;"",N(P326)&lt;0),"Service overdue. ","")))</f>
        <v/>
      </c>
      <c r="S326" s="17" t="str">
        <f aca="false">IF(A326="","",IF(CHOOSE(MATCH(Find!$C$4,Lists!$K$2:$K$7,0),F326,E326,J326,K326,L326,G326)=Find!$C$5,MAX(S$4:S325)+1,""))</f>
        <v/>
      </c>
      <c r="T326" s="17" t="str">
        <f aca="false">IF(A326="","",IF(OR(J326=Manifest!$C$4,K326=Manifest!$C$4),MAX(T$4:T325)+1,""))</f>
        <v/>
      </c>
    </row>
    <row r="327" customFormat="false" ht="15" hidden="false" customHeight="false" outlineLevel="0" collapsed="false">
      <c r="C327" s="14"/>
      <c r="E327" s="14"/>
      <c r="F327" s="14"/>
      <c r="G327" s="14"/>
      <c r="H327" s="14"/>
      <c r="M327" s="12"/>
      <c r="O327" s="15" t="str">
        <f aca="false">IF(OR(M327="",N327=""),"",M327+N327)</f>
        <v/>
      </c>
      <c r="P327" s="16" t="str">
        <f aca="true">IF(O327="","",O327-TODAY())</f>
        <v/>
      </c>
      <c r="Q327" s="17" t="str">
        <f aca="false">IF(A327="","",TRIM(IF(E327="","No owner. ","")&amp;IF(F327="","No storage location. ","")&amp;IF(D327="","Serial missing. ","")&amp;IF(OR(H327="",H327="Undecided"),"No disposition. ","")&amp;IF(AND(H327="Ship",J327="",K327=""),"Shipping but no container/vehicle. ","")&amp;IF(AND(J327&lt;&gt;"",K327&lt;&gt;""),"In both a container and a vehicle. ","")&amp;IF(AND(H327="Ship",L327=""),"No destination. ","")&amp;IF(AND(J327&lt;&gt;"",L327&lt;&gt;"",IFERROR(VLOOKUP(J327,Containers!$A$5:$F$60,6,FALSE()),L327)&lt;&gt;L327),"Destination differs from container. ","")&amp;IF(AND(K327&lt;&gt;"",L327&lt;&gt;"",IFERROR(VLOOKUP(K327,Vehicles!$A$5:$F$60,6,FALSE()),L327)&lt;&gt;L327),"Destination differs from vehicle. ","")&amp;IF(AND(H327="Stay",OR(J327&lt;&gt;"",K327&lt;&gt;"",L327&lt;&gt;"")),"Marked Stay but has a container/vehicle/destination. ","")&amp;IF(G327="Missing","Reported missing. ","")&amp;IF(AND(P327&lt;&gt;"",N(P327)&lt;0),"Service overdue. ","")))</f>
        <v/>
      </c>
      <c r="S327" s="17" t="str">
        <f aca="false">IF(A327="","",IF(CHOOSE(MATCH(Find!$C$4,Lists!$K$2:$K$7,0),F327,E327,J327,K327,L327,G327)=Find!$C$5,MAX(S$4:S326)+1,""))</f>
        <v/>
      </c>
      <c r="T327" s="17" t="str">
        <f aca="false">IF(A327="","",IF(OR(J327=Manifest!$C$4,K327=Manifest!$C$4),MAX(T$4:T326)+1,""))</f>
        <v/>
      </c>
    </row>
    <row r="328" customFormat="false" ht="15" hidden="false" customHeight="false" outlineLevel="0" collapsed="false">
      <c r="C328" s="14"/>
      <c r="E328" s="14"/>
      <c r="F328" s="14"/>
      <c r="G328" s="14"/>
      <c r="H328" s="14"/>
      <c r="M328" s="12"/>
      <c r="O328" s="15" t="str">
        <f aca="false">IF(OR(M328="",N328=""),"",M328+N328)</f>
        <v/>
      </c>
      <c r="P328" s="16" t="str">
        <f aca="true">IF(O328="","",O328-TODAY())</f>
        <v/>
      </c>
      <c r="Q328" s="17" t="str">
        <f aca="false">IF(A328="","",TRIM(IF(E328="","No owner. ","")&amp;IF(F328="","No storage location. ","")&amp;IF(D328="","Serial missing. ","")&amp;IF(OR(H328="",H328="Undecided"),"No disposition. ","")&amp;IF(AND(H328="Ship",J328="",K328=""),"Shipping but no container/vehicle. ","")&amp;IF(AND(J328&lt;&gt;"",K328&lt;&gt;""),"In both a container and a vehicle. ","")&amp;IF(AND(H328="Ship",L328=""),"No destination. ","")&amp;IF(AND(J328&lt;&gt;"",L328&lt;&gt;"",IFERROR(VLOOKUP(J328,Containers!$A$5:$F$60,6,FALSE()),L328)&lt;&gt;L328),"Destination differs from container. ","")&amp;IF(AND(K328&lt;&gt;"",L328&lt;&gt;"",IFERROR(VLOOKUP(K328,Vehicles!$A$5:$F$60,6,FALSE()),L328)&lt;&gt;L328),"Destination differs from vehicle. ","")&amp;IF(AND(H328="Stay",OR(J328&lt;&gt;"",K328&lt;&gt;"",L328&lt;&gt;"")),"Marked Stay but has a container/vehicle/destination. ","")&amp;IF(G328="Missing","Reported missing. ","")&amp;IF(AND(P328&lt;&gt;"",N(P328)&lt;0),"Service overdue. ","")))</f>
        <v/>
      </c>
      <c r="S328" s="17" t="str">
        <f aca="false">IF(A328="","",IF(CHOOSE(MATCH(Find!$C$4,Lists!$K$2:$K$7,0),F328,E328,J328,K328,L328,G328)=Find!$C$5,MAX(S$4:S327)+1,""))</f>
        <v/>
      </c>
      <c r="T328" s="17" t="str">
        <f aca="false">IF(A328="","",IF(OR(J328=Manifest!$C$4,K328=Manifest!$C$4),MAX(T$4:T327)+1,""))</f>
        <v/>
      </c>
    </row>
    <row r="329" customFormat="false" ht="15" hidden="false" customHeight="false" outlineLevel="0" collapsed="false">
      <c r="C329" s="14"/>
      <c r="E329" s="14"/>
      <c r="F329" s="14"/>
      <c r="G329" s="14"/>
      <c r="H329" s="14"/>
      <c r="M329" s="12"/>
      <c r="O329" s="15" t="str">
        <f aca="false">IF(OR(M329="",N329=""),"",M329+N329)</f>
        <v/>
      </c>
      <c r="P329" s="16" t="str">
        <f aca="true">IF(O329="","",O329-TODAY())</f>
        <v/>
      </c>
      <c r="Q329" s="17" t="str">
        <f aca="false">IF(A329="","",TRIM(IF(E329="","No owner. ","")&amp;IF(F329="","No storage location. ","")&amp;IF(D329="","Serial missing. ","")&amp;IF(OR(H329="",H329="Undecided"),"No disposition. ","")&amp;IF(AND(H329="Ship",J329="",K329=""),"Shipping but no container/vehicle. ","")&amp;IF(AND(J329&lt;&gt;"",K329&lt;&gt;""),"In both a container and a vehicle. ","")&amp;IF(AND(H329="Ship",L329=""),"No destination. ","")&amp;IF(AND(J329&lt;&gt;"",L329&lt;&gt;"",IFERROR(VLOOKUP(J329,Containers!$A$5:$F$60,6,FALSE()),L329)&lt;&gt;L329),"Destination differs from container. ","")&amp;IF(AND(K329&lt;&gt;"",L329&lt;&gt;"",IFERROR(VLOOKUP(K329,Vehicles!$A$5:$F$60,6,FALSE()),L329)&lt;&gt;L329),"Destination differs from vehicle. ","")&amp;IF(AND(H329="Stay",OR(J329&lt;&gt;"",K329&lt;&gt;"",L329&lt;&gt;"")),"Marked Stay but has a container/vehicle/destination. ","")&amp;IF(G329="Missing","Reported missing. ","")&amp;IF(AND(P329&lt;&gt;"",N(P329)&lt;0),"Service overdue. ","")))</f>
        <v/>
      </c>
      <c r="S329" s="17" t="str">
        <f aca="false">IF(A329="","",IF(CHOOSE(MATCH(Find!$C$4,Lists!$K$2:$K$7,0),F329,E329,J329,K329,L329,G329)=Find!$C$5,MAX(S$4:S328)+1,""))</f>
        <v/>
      </c>
      <c r="T329" s="17" t="str">
        <f aca="false">IF(A329="","",IF(OR(J329=Manifest!$C$4,K329=Manifest!$C$4),MAX(T$4:T328)+1,""))</f>
        <v/>
      </c>
    </row>
    <row r="330" customFormat="false" ht="15" hidden="false" customHeight="false" outlineLevel="0" collapsed="false">
      <c r="C330" s="14"/>
      <c r="E330" s="14"/>
      <c r="F330" s="14"/>
      <c r="G330" s="14"/>
      <c r="H330" s="14"/>
      <c r="M330" s="12"/>
      <c r="O330" s="15" t="str">
        <f aca="false">IF(OR(M330="",N330=""),"",M330+N330)</f>
        <v/>
      </c>
      <c r="P330" s="16" t="str">
        <f aca="true">IF(O330="","",O330-TODAY())</f>
        <v/>
      </c>
      <c r="Q330" s="17" t="str">
        <f aca="false">IF(A330="","",TRIM(IF(E330="","No owner. ","")&amp;IF(F330="","No storage location. ","")&amp;IF(D330="","Serial missing. ","")&amp;IF(OR(H330="",H330="Undecided"),"No disposition. ","")&amp;IF(AND(H330="Ship",J330="",K330=""),"Shipping but no container/vehicle. ","")&amp;IF(AND(J330&lt;&gt;"",K330&lt;&gt;""),"In both a container and a vehicle. ","")&amp;IF(AND(H330="Ship",L330=""),"No destination. ","")&amp;IF(AND(J330&lt;&gt;"",L330&lt;&gt;"",IFERROR(VLOOKUP(J330,Containers!$A$5:$F$60,6,FALSE()),L330)&lt;&gt;L330),"Destination differs from container. ","")&amp;IF(AND(K330&lt;&gt;"",L330&lt;&gt;"",IFERROR(VLOOKUP(K330,Vehicles!$A$5:$F$60,6,FALSE()),L330)&lt;&gt;L330),"Destination differs from vehicle. ","")&amp;IF(AND(H330="Stay",OR(J330&lt;&gt;"",K330&lt;&gt;"",L330&lt;&gt;"")),"Marked Stay but has a container/vehicle/destination. ","")&amp;IF(G330="Missing","Reported missing. ","")&amp;IF(AND(P330&lt;&gt;"",N(P330)&lt;0),"Service overdue. ","")))</f>
        <v/>
      </c>
      <c r="S330" s="17" t="str">
        <f aca="false">IF(A330="","",IF(CHOOSE(MATCH(Find!$C$4,Lists!$K$2:$K$7,0),F330,E330,J330,K330,L330,G330)=Find!$C$5,MAX(S$4:S329)+1,""))</f>
        <v/>
      </c>
      <c r="T330" s="17" t="str">
        <f aca="false">IF(A330="","",IF(OR(J330=Manifest!$C$4,K330=Manifest!$C$4),MAX(T$4:T329)+1,""))</f>
        <v/>
      </c>
    </row>
    <row r="331" customFormat="false" ht="15" hidden="false" customHeight="false" outlineLevel="0" collapsed="false">
      <c r="C331" s="14"/>
      <c r="E331" s="14"/>
      <c r="F331" s="14"/>
      <c r="G331" s="14"/>
      <c r="H331" s="14"/>
      <c r="M331" s="12"/>
      <c r="O331" s="15" t="str">
        <f aca="false">IF(OR(M331="",N331=""),"",M331+N331)</f>
        <v/>
      </c>
      <c r="P331" s="16" t="str">
        <f aca="true">IF(O331="","",O331-TODAY())</f>
        <v/>
      </c>
      <c r="Q331" s="17" t="str">
        <f aca="false">IF(A331="","",TRIM(IF(E331="","No owner. ","")&amp;IF(F331="","No storage location. ","")&amp;IF(D331="","Serial missing. ","")&amp;IF(OR(H331="",H331="Undecided"),"No disposition. ","")&amp;IF(AND(H331="Ship",J331="",K331=""),"Shipping but no container/vehicle. ","")&amp;IF(AND(J331&lt;&gt;"",K331&lt;&gt;""),"In both a container and a vehicle. ","")&amp;IF(AND(H331="Ship",L331=""),"No destination. ","")&amp;IF(AND(J331&lt;&gt;"",L331&lt;&gt;"",IFERROR(VLOOKUP(J331,Containers!$A$5:$F$60,6,FALSE()),L331)&lt;&gt;L331),"Destination differs from container. ","")&amp;IF(AND(K331&lt;&gt;"",L331&lt;&gt;"",IFERROR(VLOOKUP(K331,Vehicles!$A$5:$F$60,6,FALSE()),L331)&lt;&gt;L331),"Destination differs from vehicle. ","")&amp;IF(AND(H331="Stay",OR(J331&lt;&gt;"",K331&lt;&gt;"",L331&lt;&gt;"")),"Marked Stay but has a container/vehicle/destination. ","")&amp;IF(G331="Missing","Reported missing. ","")&amp;IF(AND(P331&lt;&gt;"",N(P331)&lt;0),"Service overdue. ","")))</f>
        <v/>
      </c>
      <c r="S331" s="17" t="str">
        <f aca="false">IF(A331="","",IF(CHOOSE(MATCH(Find!$C$4,Lists!$K$2:$K$7,0),F331,E331,J331,K331,L331,G331)=Find!$C$5,MAX(S$4:S330)+1,""))</f>
        <v/>
      </c>
      <c r="T331" s="17" t="str">
        <f aca="false">IF(A331="","",IF(OR(J331=Manifest!$C$4,K331=Manifest!$C$4),MAX(T$4:T330)+1,""))</f>
        <v/>
      </c>
    </row>
    <row r="332" customFormat="false" ht="15" hidden="false" customHeight="false" outlineLevel="0" collapsed="false">
      <c r="C332" s="14"/>
      <c r="E332" s="14"/>
      <c r="F332" s="14"/>
      <c r="G332" s="14"/>
      <c r="H332" s="14"/>
      <c r="M332" s="12"/>
      <c r="O332" s="15" t="str">
        <f aca="false">IF(OR(M332="",N332=""),"",M332+N332)</f>
        <v/>
      </c>
      <c r="P332" s="16" t="str">
        <f aca="true">IF(O332="","",O332-TODAY())</f>
        <v/>
      </c>
      <c r="Q332" s="17" t="str">
        <f aca="false">IF(A332="","",TRIM(IF(E332="","No owner. ","")&amp;IF(F332="","No storage location. ","")&amp;IF(D332="","Serial missing. ","")&amp;IF(OR(H332="",H332="Undecided"),"No disposition. ","")&amp;IF(AND(H332="Ship",J332="",K332=""),"Shipping but no container/vehicle. ","")&amp;IF(AND(J332&lt;&gt;"",K332&lt;&gt;""),"In both a container and a vehicle. ","")&amp;IF(AND(H332="Ship",L332=""),"No destination. ","")&amp;IF(AND(J332&lt;&gt;"",L332&lt;&gt;"",IFERROR(VLOOKUP(J332,Containers!$A$5:$F$60,6,FALSE()),L332)&lt;&gt;L332),"Destination differs from container. ","")&amp;IF(AND(K332&lt;&gt;"",L332&lt;&gt;"",IFERROR(VLOOKUP(K332,Vehicles!$A$5:$F$60,6,FALSE()),L332)&lt;&gt;L332),"Destination differs from vehicle. ","")&amp;IF(AND(H332="Stay",OR(J332&lt;&gt;"",K332&lt;&gt;"",L332&lt;&gt;"")),"Marked Stay but has a container/vehicle/destination. ","")&amp;IF(G332="Missing","Reported missing. ","")&amp;IF(AND(P332&lt;&gt;"",N(P332)&lt;0),"Service overdue. ","")))</f>
        <v/>
      </c>
      <c r="S332" s="17" t="str">
        <f aca="false">IF(A332="","",IF(CHOOSE(MATCH(Find!$C$4,Lists!$K$2:$K$7,0),F332,E332,J332,K332,L332,G332)=Find!$C$5,MAX(S$4:S331)+1,""))</f>
        <v/>
      </c>
      <c r="T332" s="17" t="str">
        <f aca="false">IF(A332="","",IF(OR(J332=Manifest!$C$4,K332=Manifest!$C$4),MAX(T$4:T331)+1,""))</f>
        <v/>
      </c>
    </row>
    <row r="333" customFormat="false" ht="15" hidden="false" customHeight="false" outlineLevel="0" collapsed="false">
      <c r="C333" s="14"/>
      <c r="E333" s="14"/>
      <c r="F333" s="14"/>
      <c r="G333" s="14"/>
      <c r="H333" s="14"/>
      <c r="M333" s="12"/>
      <c r="O333" s="15" t="str">
        <f aca="false">IF(OR(M333="",N333=""),"",M333+N333)</f>
        <v/>
      </c>
      <c r="P333" s="16" t="str">
        <f aca="true">IF(O333="","",O333-TODAY())</f>
        <v/>
      </c>
      <c r="Q333" s="17" t="str">
        <f aca="false">IF(A333="","",TRIM(IF(E333="","No owner. ","")&amp;IF(F333="","No storage location. ","")&amp;IF(D333="","Serial missing. ","")&amp;IF(OR(H333="",H333="Undecided"),"No disposition. ","")&amp;IF(AND(H333="Ship",J333="",K333=""),"Shipping but no container/vehicle. ","")&amp;IF(AND(J333&lt;&gt;"",K333&lt;&gt;""),"In both a container and a vehicle. ","")&amp;IF(AND(H333="Ship",L333=""),"No destination. ","")&amp;IF(AND(J333&lt;&gt;"",L333&lt;&gt;"",IFERROR(VLOOKUP(J333,Containers!$A$5:$F$60,6,FALSE()),L333)&lt;&gt;L333),"Destination differs from container. ","")&amp;IF(AND(K333&lt;&gt;"",L333&lt;&gt;"",IFERROR(VLOOKUP(K333,Vehicles!$A$5:$F$60,6,FALSE()),L333)&lt;&gt;L333),"Destination differs from vehicle. ","")&amp;IF(AND(H333="Stay",OR(J333&lt;&gt;"",K333&lt;&gt;"",L333&lt;&gt;"")),"Marked Stay but has a container/vehicle/destination. ","")&amp;IF(G333="Missing","Reported missing. ","")&amp;IF(AND(P333&lt;&gt;"",N(P333)&lt;0),"Service overdue. ","")))</f>
        <v/>
      </c>
      <c r="S333" s="17" t="str">
        <f aca="false">IF(A333="","",IF(CHOOSE(MATCH(Find!$C$4,Lists!$K$2:$K$7,0),F333,E333,J333,K333,L333,G333)=Find!$C$5,MAX(S$4:S332)+1,""))</f>
        <v/>
      </c>
      <c r="T333" s="17" t="str">
        <f aca="false">IF(A333="","",IF(OR(J333=Manifest!$C$4,K333=Manifest!$C$4),MAX(T$4:T332)+1,""))</f>
        <v/>
      </c>
    </row>
    <row r="334" customFormat="false" ht="15" hidden="false" customHeight="false" outlineLevel="0" collapsed="false">
      <c r="C334" s="14"/>
      <c r="E334" s="14"/>
      <c r="F334" s="14"/>
      <c r="G334" s="14"/>
      <c r="H334" s="14"/>
      <c r="M334" s="12"/>
      <c r="O334" s="15" t="str">
        <f aca="false">IF(OR(M334="",N334=""),"",M334+N334)</f>
        <v/>
      </c>
      <c r="P334" s="16" t="str">
        <f aca="true">IF(O334="","",O334-TODAY())</f>
        <v/>
      </c>
      <c r="Q334" s="17" t="str">
        <f aca="false">IF(A334="","",TRIM(IF(E334="","No owner. ","")&amp;IF(F334="","No storage location. ","")&amp;IF(D334="","Serial missing. ","")&amp;IF(OR(H334="",H334="Undecided"),"No disposition. ","")&amp;IF(AND(H334="Ship",J334="",K334=""),"Shipping but no container/vehicle. ","")&amp;IF(AND(J334&lt;&gt;"",K334&lt;&gt;""),"In both a container and a vehicle. ","")&amp;IF(AND(H334="Ship",L334=""),"No destination. ","")&amp;IF(AND(J334&lt;&gt;"",L334&lt;&gt;"",IFERROR(VLOOKUP(J334,Containers!$A$5:$F$60,6,FALSE()),L334)&lt;&gt;L334),"Destination differs from container. ","")&amp;IF(AND(K334&lt;&gt;"",L334&lt;&gt;"",IFERROR(VLOOKUP(K334,Vehicles!$A$5:$F$60,6,FALSE()),L334)&lt;&gt;L334),"Destination differs from vehicle. ","")&amp;IF(AND(H334="Stay",OR(J334&lt;&gt;"",K334&lt;&gt;"",L334&lt;&gt;"")),"Marked Stay but has a container/vehicle/destination. ","")&amp;IF(G334="Missing","Reported missing. ","")&amp;IF(AND(P334&lt;&gt;"",N(P334)&lt;0),"Service overdue. ","")))</f>
        <v/>
      </c>
      <c r="S334" s="17" t="str">
        <f aca="false">IF(A334="","",IF(CHOOSE(MATCH(Find!$C$4,Lists!$K$2:$K$7,0),F334,E334,J334,K334,L334,G334)=Find!$C$5,MAX(S$4:S333)+1,""))</f>
        <v/>
      </c>
      <c r="T334" s="17" t="str">
        <f aca="false">IF(A334="","",IF(OR(J334=Manifest!$C$4,K334=Manifest!$C$4),MAX(T$4:T333)+1,""))</f>
        <v/>
      </c>
    </row>
    <row r="335" customFormat="false" ht="15" hidden="false" customHeight="false" outlineLevel="0" collapsed="false">
      <c r="C335" s="14"/>
      <c r="E335" s="14"/>
      <c r="F335" s="14"/>
      <c r="G335" s="14"/>
      <c r="H335" s="14"/>
      <c r="M335" s="12"/>
      <c r="O335" s="15" t="str">
        <f aca="false">IF(OR(M335="",N335=""),"",M335+N335)</f>
        <v/>
      </c>
      <c r="P335" s="16" t="str">
        <f aca="true">IF(O335="","",O335-TODAY())</f>
        <v/>
      </c>
      <c r="Q335" s="17" t="str">
        <f aca="false">IF(A335="","",TRIM(IF(E335="","No owner. ","")&amp;IF(F335="","No storage location. ","")&amp;IF(D335="","Serial missing. ","")&amp;IF(OR(H335="",H335="Undecided"),"No disposition. ","")&amp;IF(AND(H335="Ship",J335="",K335=""),"Shipping but no container/vehicle. ","")&amp;IF(AND(J335&lt;&gt;"",K335&lt;&gt;""),"In both a container and a vehicle. ","")&amp;IF(AND(H335="Ship",L335=""),"No destination. ","")&amp;IF(AND(J335&lt;&gt;"",L335&lt;&gt;"",IFERROR(VLOOKUP(J335,Containers!$A$5:$F$60,6,FALSE()),L335)&lt;&gt;L335),"Destination differs from container. ","")&amp;IF(AND(K335&lt;&gt;"",L335&lt;&gt;"",IFERROR(VLOOKUP(K335,Vehicles!$A$5:$F$60,6,FALSE()),L335)&lt;&gt;L335),"Destination differs from vehicle. ","")&amp;IF(AND(H335="Stay",OR(J335&lt;&gt;"",K335&lt;&gt;"",L335&lt;&gt;"")),"Marked Stay but has a container/vehicle/destination. ","")&amp;IF(G335="Missing","Reported missing. ","")&amp;IF(AND(P335&lt;&gt;"",N(P335)&lt;0),"Service overdue. ","")))</f>
        <v/>
      </c>
      <c r="S335" s="17" t="str">
        <f aca="false">IF(A335="","",IF(CHOOSE(MATCH(Find!$C$4,Lists!$K$2:$K$7,0),F335,E335,J335,K335,L335,G335)=Find!$C$5,MAX(S$4:S334)+1,""))</f>
        <v/>
      </c>
      <c r="T335" s="17" t="str">
        <f aca="false">IF(A335="","",IF(OR(J335=Manifest!$C$4,K335=Manifest!$C$4),MAX(T$4:T334)+1,""))</f>
        <v/>
      </c>
    </row>
    <row r="336" customFormat="false" ht="15" hidden="false" customHeight="false" outlineLevel="0" collapsed="false">
      <c r="C336" s="14"/>
      <c r="E336" s="14"/>
      <c r="F336" s="14"/>
      <c r="G336" s="14"/>
      <c r="H336" s="14"/>
      <c r="M336" s="12"/>
      <c r="O336" s="15" t="str">
        <f aca="false">IF(OR(M336="",N336=""),"",M336+N336)</f>
        <v/>
      </c>
      <c r="P336" s="16" t="str">
        <f aca="true">IF(O336="","",O336-TODAY())</f>
        <v/>
      </c>
      <c r="Q336" s="17" t="str">
        <f aca="false">IF(A336="","",TRIM(IF(E336="","No owner. ","")&amp;IF(F336="","No storage location. ","")&amp;IF(D336="","Serial missing. ","")&amp;IF(OR(H336="",H336="Undecided"),"No disposition. ","")&amp;IF(AND(H336="Ship",J336="",K336=""),"Shipping but no container/vehicle. ","")&amp;IF(AND(J336&lt;&gt;"",K336&lt;&gt;""),"In both a container and a vehicle. ","")&amp;IF(AND(H336="Ship",L336=""),"No destination. ","")&amp;IF(AND(J336&lt;&gt;"",L336&lt;&gt;"",IFERROR(VLOOKUP(J336,Containers!$A$5:$F$60,6,FALSE()),L336)&lt;&gt;L336),"Destination differs from container. ","")&amp;IF(AND(K336&lt;&gt;"",L336&lt;&gt;"",IFERROR(VLOOKUP(K336,Vehicles!$A$5:$F$60,6,FALSE()),L336)&lt;&gt;L336),"Destination differs from vehicle. ","")&amp;IF(AND(H336="Stay",OR(J336&lt;&gt;"",K336&lt;&gt;"",L336&lt;&gt;"")),"Marked Stay but has a container/vehicle/destination. ","")&amp;IF(G336="Missing","Reported missing. ","")&amp;IF(AND(P336&lt;&gt;"",N(P336)&lt;0),"Service overdue. ","")))</f>
        <v/>
      </c>
      <c r="S336" s="17" t="str">
        <f aca="false">IF(A336="","",IF(CHOOSE(MATCH(Find!$C$4,Lists!$K$2:$K$7,0),F336,E336,J336,K336,L336,G336)=Find!$C$5,MAX(S$4:S335)+1,""))</f>
        <v/>
      </c>
      <c r="T336" s="17" t="str">
        <f aca="false">IF(A336="","",IF(OR(J336=Manifest!$C$4,K336=Manifest!$C$4),MAX(T$4:T335)+1,""))</f>
        <v/>
      </c>
    </row>
    <row r="337" customFormat="false" ht="15" hidden="false" customHeight="false" outlineLevel="0" collapsed="false">
      <c r="C337" s="14"/>
      <c r="E337" s="14"/>
      <c r="F337" s="14"/>
      <c r="G337" s="14"/>
      <c r="H337" s="14"/>
      <c r="M337" s="12"/>
      <c r="O337" s="15" t="str">
        <f aca="false">IF(OR(M337="",N337=""),"",M337+N337)</f>
        <v/>
      </c>
      <c r="P337" s="16" t="str">
        <f aca="true">IF(O337="","",O337-TODAY())</f>
        <v/>
      </c>
      <c r="Q337" s="17" t="str">
        <f aca="false">IF(A337="","",TRIM(IF(E337="","No owner. ","")&amp;IF(F337="","No storage location. ","")&amp;IF(D337="","Serial missing. ","")&amp;IF(OR(H337="",H337="Undecided"),"No disposition. ","")&amp;IF(AND(H337="Ship",J337="",K337=""),"Shipping but no container/vehicle. ","")&amp;IF(AND(J337&lt;&gt;"",K337&lt;&gt;""),"In both a container and a vehicle. ","")&amp;IF(AND(H337="Ship",L337=""),"No destination. ","")&amp;IF(AND(J337&lt;&gt;"",L337&lt;&gt;"",IFERROR(VLOOKUP(J337,Containers!$A$5:$F$60,6,FALSE()),L337)&lt;&gt;L337),"Destination differs from container. ","")&amp;IF(AND(K337&lt;&gt;"",L337&lt;&gt;"",IFERROR(VLOOKUP(K337,Vehicles!$A$5:$F$60,6,FALSE()),L337)&lt;&gt;L337),"Destination differs from vehicle. ","")&amp;IF(AND(H337="Stay",OR(J337&lt;&gt;"",K337&lt;&gt;"",L337&lt;&gt;"")),"Marked Stay but has a container/vehicle/destination. ","")&amp;IF(G337="Missing","Reported missing. ","")&amp;IF(AND(P337&lt;&gt;"",N(P337)&lt;0),"Service overdue. ","")))</f>
        <v/>
      </c>
      <c r="S337" s="17" t="str">
        <f aca="false">IF(A337="","",IF(CHOOSE(MATCH(Find!$C$4,Lists!$K$2:$K$7,0),F337,E337,J337,K337,L337,G337)=Find!$C$5,MAX(S$4:S336)+1,""))</f>
        <v/>
      </c>
      <c r="T337" s="17" t="str">
        <f aca="false">IF(A337="","",IF(OR(J337=Manifest!$C$4,K337=Manifest!$C$4),MAX(T$4:T336)+1,""))</f>
        <v/>
      </c>
    </row>
    <row r="338" customFormat="false" ht="15" hidden="false" customHeight="false" outlineLevel="0" collapsed="false">
      <c r="C338" s="14"/>
      <c r="E338" s="14"/>
      <c r="F338" s="14"/>
      <c r="G338" s="14"/>
      <c r="H338" s="14"/>
      <c r="M338" s="12"/>
      <c r="O338" s="15" t="str">
        <f aca="false">IF(OR(M338="",N338=""),"",M338+N338)</f>
        <v/>
      </c>
      <c r="P338" s="16" t="str">
        <f aca="true">IF(O338="","",O338-TODAY())</f>
        <v/>
      </c>
      <c r="Q338" s="17" t="str">
        <f aca="false">IF(A338="","",TRIM(IF(E338="","No owner. ","")&amp;IF(F338="","No storage location. ","")&amp;IF(D338="","Serial missing. ","")&amp;IF(OR(H338="",H338="Undecided"),"No disposition. ","")&amp;IF(AND(H338="Ship",J338="",K338=""),"Shipping but no container/vehicle. ","")&amp;IF(AND(J338&lt;&gt;"",K338&lt;&gt;""),"In both a container and a vehicle. ","")&amp;IF(AND(H338="Ship",L338=""),"No destination. ","")&amp;IF(AND(J338&lt;&gt;"",L338&lt;&gt;"",IFERROR(VLOOKUP(J338,Containers!$A$5:$F$60,6,FALSE()),L338)&lt;&gt;L338),"Destination differs from container. ","")&amp;IF(AND(K338&lt;&gt;"",L338&lt;&gt;"",IFERROR(VLOOKUP(K338,Vehicles!$A$5:$F$60,6,FALSE()),L338)&lt;&gt;L338),"Destination differs from vehicle. ","")&amp;IF(AND(H338="Stay",OR(J338&lt;&gt;"",K338&lt;&gt;"",L338&lt;&gt;"")),"Marked Stay but has a container/vehicle/destination. ","")&amp;IF(G338="Missing","Reported missing. ","")&amp;IF(AND(P338&lt;&gt;"",N(P338)&lt;0),"Service overdue. ","")))</f>
        <v/>
      </c>
      <c r="S338" s="17" t="str">
        <f aca="false">IF(A338="","",IF(CHOOSE(MATCH(Find!$C$4,Lists!$K$2:$K$7,0),F338,E338,J338,K338,L338,G338)=Find!$C$5,MAX(S$4:S337)+1,""))</f>
        <v/>
      </c>
      <c r="T338" s="17" t="str">
        <f aca="false">IF(A338="","",IF(OR(J338=Manifest!$C$4,K338=Manifest!$C$4),MAX(T$4:T337)+1,""))</f>
        <v/>
      </c>
    </row>
    <row r="339" customFormat="false" ht="15" hidden="false" customHeight="false" outlineLevel="0" collapsed="false">
      <c r="C339" s="14"/>
      <c r="E339" s="14"/>
      <c r="F339" s="14"/>
      <c r="G339" s="14"/>
      <c r="H339" s="14"/>
      <c r="M339" s="12"/>
      <c r="O339" s="15" t="str">
        <f aca="false">IF(OR(M339="",N339=""),"",M339+N339)</f>
        <v/>
      </c>
      <c r="P339" s="16" t="str">
        <f aca="true">IF(O339="","",O339-TODAY())</f>
        <v/>
      </c>
      <c r="Q339" s="17" t="str">
        <f aca="false">IF(A339="","",TRIM(IF(E339="","No owner. ","")&amp;IF(F339="","No storage location. ","")&amp;IF(D339="","Serial missing. ","")&amp;IF(OR(H339="",H339="Undecided"),"No disposition. ","")&amp;IF(AND(H339="Ship",J339="",K339=""),"Shipping but no container/vehicle. ","")&amp;IF(AND(J339&lt;&gt;"",K339&lt;&gt;""),"In both a container and a vehicle. ","")&amp;IF(AND(H339="Ship",L339=""),"No destination. ","")&amp;IF(AND(J339&lt;&gt;"",L339&lt;&gt;"",IFERROR(VLOOKUP(J339,Containers!$A$5:$F$60,6,FALSE()),L339)&lt;&gt;L339),"Destination differs from container. ","")&amp;IF(AND(K339&lt;&gt;"",L339&lt;&gt;"",IFERROR(VLOOKUP(K339,Vehicles!$A$5:$F$60,6,FALSE()),L339)&lt;&gt;L339),"Destination differs from vehicle. ","")&amp;IF(AND(H339="Stay",OR(J339&lt;&gt;"",K339&lt;&gt;"",L339&lt;&gt;"")),"Marked Stay but has a container/vehicle/destination. ","")&amp;IF(G339="Missing","Reported missing. ","")&amp;IF(AND(P339&lt;&gt;"",N(P339)&lt;0),"Service overdue. ","")))</f>
        <v/>
      </c>
      <c r="S339" s="17" t="str">
        <f aca="false">IF(A339="","",IF(CHOOSE(MATCH(Find!$C$4,Lists!$K$2:$K$7,0),F339,E339,J339,K339,L339,G339)=Find!$C$5,MAX(S$4:S338)+1,""))</f>
        <v/>
      </c>
      <c r="T339" s="17" t="str">
        <f aca="false">IF(A339="","",IF(OR(J339=Manifest!$C$4,K339=Manifest!$C$4),MAX(T$4:T338)+1,""))</f>
        <v/>
      </c>
    </row>
    <row r="340" customFormat="false" ht="15" hidden="false" customHeight="false" outlineLevel="0" collapsed="false">
      <c r="C340" s="14"/>
      <c r="E340" s="14"/>
      <c r="F340" s="14"/>
      <c r="G340" s="14"/>
      <c r="H340" s="14"/>
      <c r="M340" s="12"/>
      <c r="O340" s="15" t="str">
        <f aca="false">IF(OR(M340="",N340=""),"",M340+N340)</f>
        <v/>
      </c>
      <c r="P340" s="16" t="str">
        <f aca="true">IF(O340="","",O340-TODAY())</f>
        <v/>
      </c>
      <c r="Q340" s="17" t="str">
        <f aca="false">IF(A340="","",TRIM(IF(E340="","No owner. ","")&amp;IF(F340="","No storage location. ","")&amp;IF(D340="","Serial missing. ","")&amp;IF(OR(H340="",H340="Undecided"),"No disposition. ","")&amp;IF(AND(H340="Ship",J340="",K340=""),"Shipping but no container/vehicle. ","")&amp;IF(AND(J340&lt;&gt;"",K340&lt;&gt;""),"In both a container and a vehicle. ","")&amp;IF(AND(H340="Ship",L340=""),"No destination. ","")&amp;IF(AND(J340&lt;&gt;"",L340&lt;&gt;"",IFERROR(VLOOKUP(J340,Containers!$A$5:$F$60,6,FALSE()),L340)&lt;&gt;L340),"Destination differs from container. ","")&amp;IF(AND(K340&lt;&gt;"",L340&lt;&gt;"",IFERROR(VLOOKUP(K340,Vehicles!$A$5:$F$60,6,FALSE()),L340)&lt;&gt;L340),"Destination differs from vehicle. ","")&amp;IF(AND(H340="Stay",OR(J340&lt;&gt;"",K340&lt;&gt;"",L340&lt;&gt;"")),"Marked Stay but has a container/vehicle/destination. ","")&amp;IF(G340="Missing","Reported missing. ","")&amp;IF(AND(P340&lt;&gt;"",N(P340)&lt;0),"Service overdue. ","")))</f>
        <v/>
      </c>
      <c r="S340" s="17" t="str">
        <f aca="false">IF(A340="","",IF(CHOOSE(MATCH(Find!$C$4,Lists!$K$2:$K$7,0),F340,E340,J340,K340,L340,G340)=Find!$C$5,MAX(S$4:S339)+1,""))</f>
        <v/>
      </c>
      <c r="T340" s="17" t="str">
        <f aca="false">IF(A340="","",IF(OR(J340=Manifest!$C$4,K340=Manifest!$C$4),MAX(T$4:T339)+1,""))</f>
        <v/>
      </c>
    </row>
    <row r="341" customFormat="false" ht="15" hidden="false" customHeight="false" outlineLevel="0" collapsed="false">
      <c r="C341" s="14"/>
      <c r="E341" s="14"/>
      <c r="F341" s="14"/>
      <c r="G341" s="14"/>
      <c r="H341" s="14"/>
      <c r="M341" s="12"/>
      <c r="O341" s="15" t="str">
        <f aca="false">IF(OR(M341="",N341=""),"",M341+N341)</f>
        <v/>
      </c>
      <c r="P341" s="16" t="str">
        <f aca="true">IF(O341="","",O341-TODAY())</f>
        <v/>
      </c>
      <c r="Q341" s="17" t="str">
        <f aca="false">IF(A341="","",TRIM(IF(E341="","No owner. ","")&amp;IF(F341="","No storage location. ","")&amp;IF(D341="","Serial missing. ","")&amp;IF(OR(H341="",H341="Undecided"),"No disposition. ","")&amp;IF(AND(H341="Ship",J341="",K341=""),"Shipping but no container/vehicle. ","")&amp;IF(AND(J341&lt;&gt;"",K341&lt;&gt;""),"In both a container and a vehicle. ","")&amp;IF(AND(H341="Ship",L341=""),"No destination. ","")&amp;IF(AND(J341&lt;&gt;"",L341&lt;&gt;"",IFERROR(VLOOKUP(J341,Containers!$A$5:$F$60,6,FALSE()),L341)&lt;&gt;L341),"Destination differs from container. ","")&amp;IF(AND(K341&lt;&gt;"",L341&lt;&gt;"",IFERROR(VLOOKUP(K341,Vehicles!$A$5:$F$60,6,FALSE()),L341)&lt;&gt;L341),"Destination differs from vehicle. ","")&amp;IF(AND(H341="Stay",OR(J341&lt;&gt;"",K341&lt;&gt;"",L341&lt;&gt;"")),"Marked Stay but has a container/vehicle/destination. ","")&amp;IF(G341="Missing","Reported missing. ","")&amp;IF(AND(P341&lt;&gt;"",N(P341)&lt;0),"Service overdue. ","")))</f>
        <v/>
      </c>
      <c r="S341" s="17" t="str">
        <f aca="false">IF(A341="","",IF(CHOOSE(MATCH(Find!$C$4,Lists!$K$2:$K$7,0),F341,E341,J341,K341,L341,G341)=Find!$C$5,MAX(S$4:S340)+1,""))</f>
        <v/>
      </c>
      <c r="T341" s="17" t="str">
        <f aca="false">IF(A341="","",IF(OR(J341=Manifest!$C$4,K341=Manifest!$C$4),MAX(T$4:T340)+1,""))</f>
        <v/>
      </c>
    </row>
    <row r="342" customFormat="false" ht="15" hidden="false" customHeight="false" outlineLevel="0" collapsed="false">
      <c r="C342" s="14"/>
      <c r="E342" s="14"/>
      <c r="F342" s="14"/>
      <c r="G342" s="14"/>
      <c r="H342" s="14"/>
      <c r="M342" s="12"/>
      <c r="O342" s="15" t="str">
        <f aca="false">IF(OR(M342="",N342=""),"",M342+N342)</f>
        <v/>
      </c>
      <c r="P342" s="16" t="str">
        <f aca="true">IF(O342="","",O342-TODAY())</f>
        <v/>
      </c>
      <c r="Q342" s="17" t="str">
        <f aca="false">IF(A342="","",TRIM(IF(E342="","No owner. ","")&amp;IF(F342="","No storage location. ","")&amp;IF(D342="","Serial missing. ","")&amp;IF(OR(H342="",H342="Undecided"),"No disposition. ","")&amp;IF(AND(H342="Ship",J342="",K342=""),"Shipping but no container/vehicle. ","")&amp;IF(AND(J342&lt;&gt;"",K342&lt;&gt;""),"In both a container and a vehicle. ","")&amp;IF(AND(H342="Ship",L342=""),"No destination. ","")&amp;IF(AND(J342&lt;&gt;"",L342&lt;&gt;"",IFERROR(VLOOKUP(J342,Containers!$A$5:$F$60,6,FALSE()),L342)&lt;&gt;L342),"Destination differs from container. ","")&amp;IF(AND(K342&lt;&gt;"",L342&lt;&gt;"",IFERROR(VLOOKUP(K342,Vehicles!$A$5:$F$60,6,FALSE()),L342)&lt;&gt;L342),"Destination differs from vehicle. ","")&amp;IF(AND(H342="Stay",OR(J342&lt;&gt;"",K342&lt;&gt;"",L342&lt;&gt;"")),"Marked Stay but has a container/vehicle/destination. ","")&amp;IF(G342="Missing","Reported missing. ","")&amp;IF(AND(P342&lt;&gt;"",N(P342)&lt;0),"Service overdue. ","")))</f>
        <v/>
      </c>
      <c r="S342" s="17" t="str">
        <f aca="false">IF(A342="","",IF(CHOOSE(MATCH(Find!$C$4,Lists!$K$2:$K$7,0),F342,E342,J342,K342,L342,G342)=Find!$C$5,MAX(S$4:S341)+1,""))</f>
        <v/>
      </c>
      <c r="T342" s="17" t="str">
        <f aca="false">IF(A342="","",IF(OR(J342=Manifest!$C$4,K342=Manifest!$C$4),MAX(T$4:T341)+1,""))</f>
        <v/>
      </c>
    </row>
    <row r="343" customFormat="false" ht="15" hidden="false" customHeight="false" outlineLevel="0" collapsed="false">
      <c r="C343" s="14"/>
      <c r="E343" s="14"/>
      <c r="F343" s="14"/>
      <c r="G343" s="14"/>
      <c r="H343" s="14"/>
      <c r="M343" s="12"/>
      <c r="O343" s="15" t="str">
        <f aca="false">IF(OR(M343="",N343=""),"",M343+N343)</f>
        <v/>
      </c>
      <c r="P343" s="16" t="str">
        <f aca="true">IF(O343="","",O343-TODAY())</f>
        <v/>
      </c>
      <c r="Q343" s="17" t="str">
        <f aca="false">IF(A343="","",TRIM(IF(E343="","No owner. ","")&amp;IF(F343="","No storage location. ","")&amp;IF(D343="","Serial missing. ","")&amp;IF(OR(H343="",H343="Undecided"),"No disposition. ","")&amp;IF(AND(H343="Ship",J343="",K343=""),"Shipping but no container/vehicle. ","")&amp;IF(AND(J343&lt;&gt;"",K343&lt;&gt;""),"In both a container and a vehicle. ","")&amp;IF(AND(H343="Ship",L343=""),"No destination. ","")&amp;IF(AND(J343&lt;&gt;"",L343&lt;&gt;"",IFERROR(VLOOKUP(J343,Containers!$A$5:$F$60,6,FALSE()),L343)&lt;&gt;L343),"Destination differs from container. ","")&amp;IF(AND(K343&lt;&gt;"",L343&lt;&gt;"",IFERROR(VLOOKUP(K343,Vehicles!$A$5:$F$60,6,FALSE()),L343)&lt;&gt;L343),"Destination differs from vehicle. ","")&amp;IF(AND(H343="Stay",OR(J343&lt;&gt;"",K343&lt;&gt;"",L343&lt;&gt;"")),"Marked Stay but has a container/vehicle/destination. ","")&amp;IF(G343="Missing","Reported missing. ","")&amp;IF(AND(P343&lt;&gt;"",N(P343)&lt;0),"Service overdue. ","")))</f>
        <v/>
      </c>
      <c r="S343" s="17" t="str">
        <f aca="false">IF(A343="","",IF(CHOOSE(MATCH(Find!$C$4,Lists!$K$2:$K$7,0),F343,E343,J343,K343,L343,G343)=Find!$C$5,MAX(S$4:S342)+1,""))</f>
        <v/>
      </c>
      <c r="T343" s="17" t="str">
        <f aca="false">IF(A343="","",IF(OR(J343=Manifest!$C$4,K343=Manifest!$C$4),MAX(T$4:T342)+1,""))</f>
        <v/>
      </c>
    </row>
    <row r="344" customFormat="false" ht="15" hidden="false" customHeight="false" outlineLevel="0" collapsed="false">
      <c r="C344" s="14"/>
      <c r="E344" s="14"/>
      <c r="F344" s="14"/>
      <c r="G344" s="14"/>
      <c r="H344" s="14"/>
      <c r="M344" s="12"/>
      <c r="O344" s="15" t="str">
        <f aca="false">IF(OR(M344="",N344=""),"",M344+N344)</f>
        <v/>
      </c>
      <c r="P344" s="16" t="str">
        <f aca="true">IF(O344="","",O344-TODAY())</f>
        <v/>
      </c>
      <c r="Q344" s="17" t="str">
        <f aca="false">IF(A344="","",TRIM(IF(E344="","No owner. ","")&amp;IF(F344="","No storage location. ","")&amp;IF(D344="","Serial missing. ","")&amp;IF(OR(H344="",H344="Undecided"),"No disposition. ","")&amp;IF(AND(H344="Ship",J344="",K344=""),"Shipping but no container/vehicle. ","")&amp;IF(AND(J344&lt;&gt;"",K344&lt;&gt;""),"In both a container and a vehicle. ","")&amp;IF(AND(H344="Ship",L344=""),"No destination. ","")&amp;IF(AND(J344&lt;&gt;"",L344&lt;&gt;"",IFERROR(VLOOKUP(J344,Containers!$A$5:$F$60,6,FALSE()),L344)&lt;&gt;L344),"Destination differs from container. ","")&amp;IF(AND(K344&lt;&gt;"",L344&lt;&gt;"",IFERROR(VLOOKUP(K344,Vehicles!$A$5:$F$60,6,FALSE()),L344)&lt;&gt;L344),"Destination differs from vehicle. ","")&amp;IF(AND(H344="Stay",OR(J344&lt;&gt;"",K344&lt;&gt;"",L344&lt;&gt;"")),"Marked Stay but has a container/vehicle/destination. ","")&amp;IF(G344="Missing","Reported missing. ","")&amp;IF(AND(P344&lt;&gt;"",N(P344)&lt;0),"Service overdue. ","")))</f>
        <v/>
      </c>
      <c r="S344" s="17" t="str">
        <f aca="false">IF(A344="","",IF(CHOOSE(MATCH(Find!$C$4,Lists!$K$2:$K$7,0),F344,E344,J344,K344,L344,G344)=Find!$C$5,MAX(S$4:S343)+1,""))</f>
        <v/>
      </c>
      <c r="T344" s="17" t="str">
        <f aca="false">IF(A344="","",IF(OR(J344=Manifest!$C$4,K344=Manifest!$C$4),MAX(T$4:T343)+1,""))</f>
        <v/>
      </c>
    </row>
    <row r="345" customFormat="false" ht="15" hidden="false" customHeight="false" outlineLevel="0" collapsed="false">
      <c r="C345" s="14"/>
      <c r="E345" s="14"/>
      <c r="F345" s="14"/>
      <c r="G345" s="14"/>
      <c r="H345" s="14"/>
      <c r="M345" s="12"/>
      <c r="O345" s="15" t="str">
        <f aca="false">IF(OR(M345="",N345=""),"",M345+N345)</f>
        <v/>
      </c>
      <c r="P345" s="16" t="str">
        <f aca="true">IF(O345="","",O345-TODAY())</f>
        <v/>
      </c>
      <c r="Q345" s="17" t="str">
        <f aca="false">IF(A345="","",TRIM(IF(E345="","No owner. ","")&amp;IF(F345="","No storage location. ","")&amp;IF(D345="","Serial missing. ","")&amp;IF(OR(H345="",H345="Undecided"),"No disposition. ","")&amp;IF(AND(H345="Ship",J345="",K345=""),"Shipping but no container/vehicle. ","")&amp;IF(AND(J345&lt;&gt;"",K345&lt;&gt;""),"In both a container and a vehicle. ","")&amp;IF(AND(H345="Ship",L345=""),"No destination. ","")&amp;IF(AND(J345&lt;&gt;"",L345&lt;&gt;"",IFERROR(VLOOKUP(J345,Containers!$A$5:$F$60,6,FALSE()),L345)&lt;&gt;L345),"Destination differs from container. ","")&amp;IF(AND(K345&lt;&gt;"",L345&lt;&gt;"",IFERROR(VLOOKUP(K345,Vehicles!$A$5:$F$60,6,FALSE()),L345)&lt;&gt;L345),"Destination differs from vehicle. ","")&amp;IF(AND(H345="Stay",OR(J345&lt;&gt;"",K345&lt;&gt;"",L345&lt;&gt;"")),"Marked Stay but has a container/vehicle/destination. ","")&amp;IF(G345="Missing","Reported missing. ","")&amp;IF(AND(P345&lt;&gt;"",N(P345)&lt;0),"Service overdue. ","")))</f>
        <v/>
      </c>
      <c r="S345" s="17" t="str">
        <f aca="false">IF(A345="","",IF(CHOOSE(MATCH(Find!$C$4,Lists!$K$2:$K$7,0),F345,E345,J345,K345,L345,G345)=Find!$C$5,MAX(S$4:S344)+1,""))</f>
        <v/>
      </c>
      <c r="T345" s="17" t="str">
        <f aca="false">IF(A345="","",IF(OR(J345=Manifest!$C$4,K345=Manifest!$C$4),MAX(T$4:T344)+1,""))</f>
        <v/>
      </c>
    </row>
    <row r="346" customFormat="false" ht="15" hidden="false" customHeight="false" outlineLevel="0" collapsed="false">
      <c r="C346" s="14"/>
      <c r="E346" s="14"/>
      <c r="F346" s="14"/>
      <c r="G346" s="14"/>
      <c r="H346" s="14"/>
      <c r="M346" s="12"/>
      <c r="O346" s="15" t="str">
        <f aca="false">IF(OR(M346="",N346=""),"",M346+N346)</f>
        <v/>
      </c>
      <c r="P346" s="16" t="str">
        <f aca="true">IF(O346="","",O346-TODAY())</f>
        <v/>
      </c>
      <c r="Q346" s="17" t="str">
        <f aca="false">IF(A346="","",TRIM(IF(E346="","No owner. ","")&amp;IF(F346="","No storage location. ","")&amp;IF(D346="","Serial missing. ","")&amp;IF(OR(H346="",H346="Undecided"),"No disposition. ","")&amp;IF(AND(H346="Ship",J346="",K346=""),"Shipping but no container/vehicle. ","")&amp;IF(AND(J346&lt;&gt;"",K346&lt;&gt;""),"In both a container and a vehicle. ","")&amp;IF(AND(H346="Ship",L346=""),"No destination. ","")&amp;IF(AND(J346&lt;&gt;"",L346&lt;&gt;"",IFERROR(VLOOKUP(J346,Containers!$A$5:$F$60,6,FALSE()),L346)&lt;&gt;L346),"Destination differs from container. ","")&amp;IF(AND(K346&lt;&gt;"",L346&lt;&gt;"",IFERROR(VLOOKUP(K346,Vehicles!$A$5:$F$60,6,FALSE()),L346)&lt;&gt;L346),"Destination differs from vehicle. ","")&amp;IF(AND(H346="Stay",OR(J346&lt;&gt;"",K346&lt;&gt;"",L346&lt;&gt;"")),"Marked Stay but has a container/vehicle/destination. ","")&amp;IF(G346="Missing","Reported missing. ","")&amp;IF(AND(P346&lt;&gt;"",N(P346)&lt;0),"Service overdue. ","")))</f>
        <v/>
      </c>
      <c r="S346" s="17" t="str">
        <f aca="false">IF(A346="","",IF(CHOOSE(MATCH(Find!$C$4,Lists!$K$2:$K$7,0),F346,E346,J346,K346,L346,G346)=Find!$C$5,MAX(S$4:S345)+1,""))</f>
        <v/>
      </c>
      <c r="T346" s="17" t="str">
        <f aca="false">IF(A346="","",IF(OR(J346=Manifest!$C$4,K346=Manifest!$C$4),MAX(T$4:T345)+1,""))</f>
        <v/>
      </c>
    </row>
    <row r="347" customFormat="false" ht="15" hidden="false" customHeight="false" outlineLevel="0" collapsed="false">
      <c r="C347" s="14"/>
      <c r="E347" s="14"/>
      <c r="F347" s="14"/>
      <c r="G347" s="14"/>
      <c r="H347" s="14"/>
      <c r="M347" s="12"/>
      <c r="O347" s="15" t="str">
        <f aca="false">IF(OR(M347="",N347=""),"",M347+N347)</f>
        <v/>
      </c>
      <c r="P347" s="16" t="str">
        <f aca="true">IF(O347="","",O347-TODAY())</f>
        <v/>
      </c>
      <c r="Q347" s="17" t="str">
        <f aca="false">IF(A347="","",TRIM(IF(E347="","No owner. ","")&amp;IF(F347="","No storage location. ","")&amp;IF(D347="","Serial missing. ","")&amp;IF(OR(H347="",H347="Undecided"),"No disposition. ","")&amp;IF(AND(H347="Ship",J347="",K347=""),"Shipping but no container/vehicle. ","")&amp;IF(AND(J347&lt;&gt;"",K347&lt;&gt;""),"In both a container and a vehicle. ","")&amp;IF(AND(H347="Ship",L347=""),"No destination. ","")&amp;IF(AND(J347&lt;&gt;"",L347&lt;&gt;"",IFERROR(VLOOKUP(J347,Containers!$A$5:$F$60,6,FALSE()),L347)&lt;&gt;L347),"Destination differs from container. ","")&amp;IF(AND(K347&lt;&gt;"",L347&lt;&gt;"",IFERROR(VLOOKUP(K347,Vehicles!$A$5:$F$60,6,FALSE()),L347)&lt;&gt;L347),"Destination differs from vehicle. ","")&amp;IF(AND(H347="Stay",OR(J347&lt;&gt;"",K347&lt;&gt;"",L347&lt;&gt;"")),"Marked Stay but has a container/vehicle/destination. ","")&amp;IF(G347="Missing","Reported missing. ","")&amp;IF(AND(P347&lt;&gt;"",N(P347)&lt;0),"Service overdue. ","")))</f>
        <v/>
      </c>
      <c r="S347" s="17" t="str">
        <f aca="false">IF(A347="","",IF(CHOOSE(MATCH(Find!$C$4,Lists!$K$2:$K$7,0),F347,E347,J347,K347,L347,G347)=Find!$C$5,MAX(S$4:S346)+1,""))</f>
        <v/>
      </c>
      <c r="T347" s="17" t="str">
        <f aca="false">IF(A347="","",IF(OR(J347=Manifest!$C$4,K347=Manifest!$C$4),MAX(T$4:T346)+1,""))</f>
        <v/>
      </c>
    </row>
    <row r="348" customFormat="false" ht="15" hidden="false" customHeight="false" outlineLevel="0" collapsed="false">
      <c r="C348" s="14"/>
      <c r="E348" s="14"/>
      <c r="F348" s="14"/>
      <c r="G348" s="14"/>
      <c r="H348" s="14"/>
      <c r="M348" s="12"/>
      <c r="O348" s="15" t="str">
        <f aca="false">IF(OR(M348="",N348=""),"",M348+N348)</f>
        <v/>
      </c>
      <c r="P348" s="16" t="str">
        <f aca="true">IF(O348="","",O348-TODAY())</f>
        <v/>
      </c>
      <c r="Q348" s="17" t="str">
        <f aca="false">IF(A348="","",TRIM(IF(E348="","No owner. ","")&amp;IF(F348="","No storage location. ","")&amp;IF(D348="","Serial missing. ","")&amp;IF(OR(H348="",H348="Undecided"),"No disposition. ","")&amp;IF(AND(H348="Ship",J348="",K348=""),"Shipping but no container/vehicle. ","")&amp;IF(AND(J348&lt;&gt;"",K348&lt;&gt;""),"In both a container and a vehicle. ","")&amp;IF(AND(H348="Ship",L348=""),"No destination. ","")&amp;IF(AND(J348&lt;&gt;"",L348&lt;&gt;"",IFERROR(VLOOKUP(J348,Containers!$A$5:$F$60,6,FALSE()),L348)&lt;&gt;L348),"Destination differs from container. ","")&amp;IF(AND(K348&lt;&gt;"",L348&lt;&gt;"",IFERROR(VLOOKUP(K348,Vehicles!$A$5:$F$60,6,FALSE()),L348)&lt;&gt;L348),"Destination differs from vehicle. ","")&amp;IF(AND(H348="Stay",OR(J348&lt;&gt;"",K348&lt;&gt;"",L348&lt;&gt;"")),"Marked Stay but has a container/vehicle/destination. ","")&amp;IF(G348="Missing","Reported missing. ","")&amp;IF(AND(P348&lt;&gt;"",N(P348)&lt;0),"Service overdue. ","")))</f>
        <v/>
      </c>
      <c r="S348" s="17" t="str">
        <f aca="false">IF(A348="","",IF(CHOOSE(MATCH(Find!$C$4,Lists!$K$2:$K$7,0),F348,E348,J348,K348,L348,G348)=Find!$C$5,MAX(S$4:S347)+1,""))</f>
        <v/>
      </c>
      <c r="T348" s="17" t="str">
        <f aca="false">IF(A348="","",IF(OR(J348=Manifest!$C$4,K348=Manifest!$C$4),MAX(T$4:T347)+1,""))</f>
        <v/>
      </c>
    </row>
    <row r="349" customFormat="false" ht="15" hidden="false" customHeight="false" outlineLevel="0" collapsed="false">
      <c r="C349" s="14"/>
      <c r="E349" s="14"/>
      <c r="F349" s="14"/>
      <c r="G349" s="14"/>
      <c r="H349" s="14"/>
      <c r="M349" s="12"/>
      <c r="O349" s="15" t="str">
        <f aca="false">IF(OR(M349="",N349=""),"",M349+N349)</f>
        <v/>
      </c>
      <c r="P349" s="16" t="str">
        <f aca="true">IF(O349="","",O349-TODAY())</f>
        <v/>
      </c>
      <c r="Q349" s="17" t="str">
        <f aca="false">IF(A349="","",TRIM(IF(E349="","No owner. ","")&amp;IF(F349="","No storage location. ","")&amp;IF(D349="","Serial missing. ","")&amp;IF(OR(H349="",H349="Undecided"),"No disposition. ","")&amp;IF(AND(H349="Ship",J349="",K349=""),"Shipping but no container/vehicle. ","")&amp;IF(AND(J349&lt;&gt;"",K349&lt;&gt;""),"In both a container and a vehicle. ","")&amp;IF(AND(H349="Ship",L349=""),"No destination. ","")&amp;IF(AND(J349&lt;&gt;"",L349&lt;&gt;"",IFERROR(VLOOKUP(J349,Containers!$A$5:$F$60,6,FALSE()),L349)&lt;&gt;L349),"Destination differs from container. ","")&amp;IF(AND(K349&lt;&gt;"",L349&lt;&gt;"",IFERROR(VLOOKUP(K349,Vehicles!$A$5:$F$60,6,FALSE()),L349)&lt;&gt;L349),"Destination differs from vehicle. ","")&amp;IF(AND(H349="Stay",OR(J349&lt;&gt;"",K349&lt;&gt;"",L349&lt;&gt;"")),"Marked Stay but has a container/vehicle/destination. ","")&amp;IF(G349="Missing","Reported missing. ","")&amp;IF(AND(P349&lt;&gt;"",N(P349)&lt;0),"Service overdue. ","")))</f>
        <v/>
      </c>
      <c r="S349" s="17" t="str">
        <f aca="false">IF(A349="","",IF(CHOOSE(MATCH(Find!$C$4,Lists!$K$2:$K$7,0),F349,E349,J349,K349,L349,G349)=Find!$C$5,MAX(S$4:S348)+1,""))</f>
        <v/>
      </c>
      <c r="T349" s="17" t="str">
        <f aca="false">IF(A349="","",IF(OR(J349=Manifest!$C$4,K349=Manifest!$C$4),MAX(T$4:T348)+1,""))</f>
        <v/>
      </c>
    </row>
    <row r="350" customFormat="false" ht="15" hidden="false" customHeight="false" outlineLevel="0" collapsed="false">
      <c r="C350" s="14"/>
      <c r="E350" s="14"/>
      <c r="F350" s="14"/>
      <c r="G350" s="14"/>
      <c r="H350" s="14"/>
      <c r="M350" s="12"/>
      <c r="O350" s="15" t="str">
        <f aca="false">IF(OR(M350="",N350=""),"",M350+N350)</f>
        <v/>
      </c>
      <c r="P350" s="16" t="str">
        <f aca="true">IF(O350="","",O350-TODAY())</f>
        <v/>
      </c>
      <c r="Q350" s="17" t="str">
        <f aca="false">IF(A350="","",TRIM(IF(E350="","No owner. ","")&amp;IF(F350="","No storage location. ","")&amp;IF(D350="","Serial missing. ","")&amp;IF(OR(H350="",H350="Undecided"),"No disposition. ","")&amp;IF(AND(H350="Ship",J350="",K350=""),"Shipping but no container/vehicle. ","")&amp;IF(AND(J350&lt;&gt;"",K350&lt;&gt;""),"In both a container and a vehicle. ","")&amp;IF(AND(H350="Ship",L350=""),"No destination. ","")&amp;IF(AND(J350&lt;&gt;"",L350&lt;&gt;"",IFERROR(VLOOKUP(J350,Containers!$A$5:$F$60,6,FALSE()),L350)&lt;&gt;L350),"Destination differs from container. ","")&amp;IF(AND(K350&lt;&gt;"",L350&lt;&gt;"",IFERROR(VLOOKUP(K350,Vehicles!$A$5:$F$60,6,FALSE()),L350)&lt;&gt;L350),"Destination differs from vehicle. ","")&amp;IF(AND(H350="Stay",OR(J350&lt;&gt;"",K350&lt;&gt;"",L350&lt;&gt;"")),"Marked Stay but has a container/vehicle/destination. ","")&amp;IF(G350="Missing","Reported missing. ","")&amp;IF(AND(P350&lt;&gt;"",N(P350)&lt;0),"Service overdue. ","")))</f>
        <v/>
      </c>
      <c r="S350" s="17" t="str">
        <f aca="false">IF(A350="","",IF(CHOOSE(MATCH(Find!$C$4,Lists!$K$2:$K$7,0),F350,E350,J350,K350,L350,G350)=Find!$C$5,MAX(S$4:S349)+1,""))</f>
        <v/>
      </c>
      <c r="T350" s="17" t="str">
        <f aca="false">IF(A350="","",IF(OR(J350=Manifest!$C$4,K350=Manifest!$C$4),MAX(T$4:T349)+1,""))</f>
        <v/>
      </c>
    </row>
    <row r="351" customFormat="false" ht="15" hidden="false" customHeight="false" outlineLevel="0" collapsed="false">
      <c r="C351" s="14"/>
      <c r="E351" s="14"/>
      <c r="F351" s="14"/>
      <c r="G351" s="14"/>
      <c r="H351" s="14"/>
      <c r="M351" s="12"/>
      <c r="O351" s="15" t="str">
        <f aca="false">IF(OR(M351="",N351=""),"",M351+N351)</f>
        <v/>
      </c>
      <c r="P351" s="16" t="str">
        <f aca="true">IF(O351="","",O351-TODAY())</f>
        <v/>
      </c>
      <c r="Q351" s="17" t="str">
        <f aca="false">IF(A351="","",TRIM(IF(E351="","No owner. ","")&amp;IF(F351="","No storage location. ","")&amp;IF(D351="","Serial missing. ","")&amp;IF(OR(H351="",H351="Undecided"),"No disposition. ","")&amp;IF(AND(H351="Ship",J351="",K351=""),"Shipping but no container/vehicle. ","")&amp;IF(AND(J351&lt;&gt;"",K351&lt;&gt;""),"In both a container and a vehicle. ","")&amp;IF(AND(H351="Ship",L351=""),"No destination. ","")&amp;IF(AND(J351&lt;&gt;"",L351&lt;&gt;"",IFERROR(VLOOKUP(J351,Containers!$A$5:$F$60,6,FALSE()),L351)&lt;&gt;L351),"Destination differs from container. ","")&amp;IF(AND(K351&lt;&gt;"",L351&lt;&gt;"",IFERROR(VLOOKUP(K351,Vehicles!$A$5:$F$60,6,FALSE()),L351)&lt;&gt;L351),"Destination differs from vehicle. ","")&amp;IF(AND(H351="Stay",OR(J351&lt;&gt;"",K351&lt;&gt;"",L351&lt;&gt;"")),"Marked Stay but has a container/vehicle/destination. ","")&amp;IF(G351="Missing","Reported missing. ","")&amp;IF(AND(P351&lt;&gt;"",N(P351)&lt;0),"Service overdue. ","")))</f>
        <v/>
      </c>
      <c r="S351" s="17" t="str">
        <f aca="false">IF(A351="","",IF(CHOOSE(MATCH(Find!$C$4,Lists!$K$2:$K$7,0),F351,E351,J351,K351,L351,G351)=Find!$C$5,MAX(S$4:S350)+1,""))</f>
        <v/>
      </c>
      <c r="T351" s="17" t="str">
        <f aca="false">IF(A351="","",IF(OR(J351=Manifest!$C$4,K351=Manifest!$C$4),MAX(T$4:T350)+1,""))</f>
        <v/>
      </c>
    </row>
    <row r="352" customFormat="false" ht="15" hidden="false" customHeight="false" outlineLevel="0" collapsed="false">
      <c r="C352" s="14"/>
      <c r="E352" s="14"/>
      <c r="F352" s="14"/>
      <c r="G352" s="14"/>
      <c r="H352" s="14"/>
      <c r="M352" s="12"/>
      <c r="O352" s="15" t="str">
        <f aca="false">IF(OR(M352="",N352=""),"",M352+N352)</f>
        <v/>
      </c>
      <c r="P352" s="16" t="str">
        <f aca="true">IF(O352="","",O352-TODAY())</f>
        <v/>
      </c>
      <c r="Q352" s="17" t="str">
        <f aca="false">IF(A352="","",TRIM(IF(E352="","No owner. ","")&amp;IF(F352="","No storage location. ","")&amp;IF(D352="","Serial missing. ","")&amp;IF(OR(H352="",H352="Undecided"),"No disposition. ","")&amp;IF(AND(H352="Ship",J352="",K352=""),"Shipping but no container/vehicle. ","")&amp;IF(AND(J352&lt;&gt;"",K352&lt;&gt;""),"In both a container and a vehicle. ","")&amp;IF(AND(H352="Ship",L352=""),"No destination. ","")&amp;IF(AND(J352&lt;&gt;"",L352&lt;&gt;"",IFERROR(VLOOKUP(J352,Containers!$A$5:$F$60,6,FALSE()),L352)&lt;&gt;L352),"Destination differs from container. ","")&amp;IF(AND(K352&lt;&gt;"",L352&lt;&gt;"",IFERROR(VLOOKUP(K352,Vehicles!$A$5:$F$60,6,FALSE()),L352)&lt;&gt;L352),"Destination differs from vehicle. ","")&amp;IF(AND(H352="Stay",OR(J352&lt;&gt;"",K352&lt;&gt;"",L352&lt;&gt;"")),"Marked Stay but has a container/vehicle/destination. ","")&amp;IF(G352="Missing","Reported missing. ","")&amp;IF(AND(P352&lt;&gt;"",N(P352)&lt;0),"Service overdue. ","")))</f>
        <v/>
      </c>
      <c r="S352" s="17" t="str">
        <f aca="false">IF(A352="","",IF(CHOOSE(MATCH(Find!$C$4,Lists!$K$2:$K$7,0),F352,E352,J352,K352,L352,G352)=Find!$C$5,MAX(S$4:S351)+1,""))</f>
        <v/>
      </c>
      <c r="T352" s="17" t="str">
        <f aca="false">IF(A352="","",IF(OR(J352=Manifest!$C$4,K352=Manifest!$C$4),MAX(T$4:T351)+1,""))</f>
        <v/>
      </c>
    </row>
    <row r="353" customFormat="false" ht="15" hidden="false" customHeight="false" outlineLevel="0" collapsed="false">
      <c r="C353" s="14"/>
      <c r="E353" s="14"/>
      <c r="F353" s="14"/>
      <c r="G353" s="14"/>
      <c r="H353" s="14"/>
      <c r="M353" s="12"/>
      <c r="O353" s="15" t="str">
        <f aca="false">IF(OR(M353="",N353=""),"",M353+N353)</f>
        <v/>
      </c>
      <c r="P353" s="16" t="str">
        <f aca="true">IF(O353="","",O353-TODAY())</f>
        <v/>
      </c>
      <c r="Q353" s="17" t="str">
        <f aca="false">IF(A353="","",TRIM(IF(E353="","No owner. ","")&amp;IF(F353="","No storage location. ","")&amp;IF(D353="","Serial missing. ","")&amp;IF(OR(H353="",H353="Undecided"),"No disposition. ","")&amp;IF(AND(H353="Ship",J353="",K353=""),"Shipping but no container/vehicle. ","")&amp;IF(AND(J353&lt;&gt;"",K353&lt;&gt;""),"In both a container and a vehicle. ","")&amp;IF(AND(H353="Ship",L353=""),"No destination. ","")&amp;IF(AND(J353&lt;&gt;"",L353&lt;&gt;"",IFERROR(VLOOKUP(J353,Containers!$A$5:$F$60,6,FALSE()),L353)&lt;&gt;L353),"Destination differs from container. ","")&amp;IF(AND(K353&lt;&gt;"",L353&lt;&gt;"",IFERROR(VLOOKUP(K353,Vehicles!$A$5:$F$60,6,FALSE()),L353)&lt;&gt;L353),"Destination differs from vehicle. ","")&amp;IF(AND(H353="Stay",OR(J353&lt;&gt;"",K353&lt;&gt;"",L353&lt;&gt;"")),"Marked Stay but has a container/vehicle/destination. ","")&amp;IF(G353="Missing","Reported missing. ","")&amp;IF(AND(P353&lt;&gt;"",N(P353)&lt;0),"Service overdue. ","")))</f>
        <v/>
      </c>
      <c r="S353" s="17" t="str">
        <f aca="false">IF(A353="","",IF(CHOOSE(MATCH(Find!$C$4,Lists!$K$2:$K$7,0),F353,E353,J353,K353,L353,G353)=Find!$C$5,MAX(S$4:S352)+1,""))</f>
        <v/>
      </c>
      <c r="T353" s="17" t="str">
        <f aca="false">IF(A353="","",IF(OR(J353=Manifest!$C$4,K353=Manifest!$C$4),MAX(T$4:T352)+1,""))</f>
        <v/>
      </c>
    </row>
    <row r="354" customFormat="false" ht="15" hidden="false" customHeight="false" outlineLevel="0" collapsed="false">
      <c r="C354" s="14"/>
      <c r="E354" s="14"/>
      <c r="F354" s="14"/>
      <c r="G354" s="14"/>
      <c r="H354" s="14"/>
      <c r="M354" s="12"/>
      <c r="O354" s="15" t="str">
        <f aca="false">IF(OR(M354="",N354=""),"",M354+N354)</f>
        <v/>
      </c>
      <c r="P354" s="16" t="str">
        <f aca="true">IF(O354="","",O354-TODAY())</f>
        <v/>
      </c>
      <c r="Q354" s="17" t="str">
        <f aca="false">IF(A354="","",TRIM(IF(E354="","No owner. ","")&amp;IF(F354="","No storage location. ","")&amp;IF(D354="","Serial missing. ","")&amp;IF(OR(H354="",H354="Undecided"),"No disposition. ","")&amp;IF(AND(H354="Ship",J354="",K354=""),"Shipping but no container/vehicle. ","")&amp;IF(AND(J354&lt;&gt;"",K354&lt;&gt;""),"In both a container and a vehicle. ","")&amp;IF(AND(H354="Ship",L354=""),"No destination. ","")&amp;IF(AND(J354&lt;&gt;"",L354&lt;&gt;"",IFERROR(VLOOKUP(J354,Containers!$A$5:$F$60,6,FALSE()),L354)&lt;&gt;L354),"Destination differs from container. ","")&amp;IF(AND(K354&lt;&gt;"",L354&lt;&gt;"",IFERROR(VLOOKUP(K354,Vehicles!$A$5:$F$60,6,FALSE()),L354)&lt;&gt;L354),"Destination differs from vehicle. ","")&amp;IF(AND(H354="Stay",OR(J354&lt;&gt;"",K354&lt;&gt;"",L354&lt;&gt;"")),"Marked Stay but has a container/vehicle/destination. ","")&amp;IF(G354="Missing","Reported missing. ","")&amp;IF(AND(P354&lt;&gt;"",N(P354)&lt;0),"Service overdue. ","")))</f>
        <v/>
      </c>
      <c r="S354" s="17" t="str">
        <f aca="false">IF(A354="","",IF(CHOOSE(MATCH(Find!$C$4,Lists!$K$2:$K$7,0),F354,E354,J354,K354,L354,G354)=Find!$C$5,MAX(S$4:S353)+1,""))</f>
        <v/>
      </c>
      <c r="T354" s="17" t="str">
        <f aca="false">IF(A354="","",IF(OR(J354=Manifest!$C$4,K354=Manifest!$C$4),MAX(T$4:T353)+1,""))</f>
        <v/>
      </c>
    </row>
    <row r="355" customFormat="false" ht="15" hidden="false" customHeight="false" outlineLevel="0" collapsed="false">
      <c r="C355" s="14"/>
      <c r="E355" s="14"/>
      <c r="F355" s="14"/>
      <c r="G355" s="14"/>
      <c r="H355" s="14"/>
      <c r="M355" s="12"/>
      <c r="O355" s="15" t="str">
        <f aca="false">IF(OR(M355="",N355=""),"",M355+N355)</f>
        <v/>
      </c>
      <c r="P355" s="16" t="str">
        <f aca="true">IF(O355="","",O355-TODAY())</f>
        <v/>
      </c>
      <c r="Q355" s="17" t="str">
        <f aca="false">IF(A355="","",TRIM(IF(E355="","No owner. ","")&amp;IF(F355="","No storage location. ","")&amp;IF(D355="","Serial missing. ","")&amp;IF(OR(H355="",H355="Undecided"),"No disposition. ","")&amp;IF(AND(H355="Ship",J355="",K355=""),"Shipping but no container/vehicle. ","")&amp;IF(AND(J355&lt;&gt;"",K355&lt;&gt;""),"In both a container and a vehicle. ","")&amp;IF(AND(H355="Ship",L355=""),"No destination. ","")&amp;IF(AND(J355&lt;&gt;"",L355&lt;&gt;"",IFERROR(VLOOKUP(J355,Containers!$A$5:$F$60,6,FALSE()),L355)&lt;&gt;L355),"Destination differs from container. ","")&amp;IF(AND(K355&lt;&gt;"",L355&lt;&gt;"",IFERROR(VLOOKUP(K355,Vehicles!$A$5:$F$60,6,FALSE()),L355)&lt;&gt;L355),"Destination differs from vehicle. ","")&amp;IF(AND(H355="Stay",OR(J355&lt;&gt;"",K355&lt;&gt;"",L355&lt;&gt;"")),"Marked Stay but has a container/vehicle/destination. ","")&amp;IF(G355="Missing","Reported missing. ","")&amp;IF(AND(P355&lt;&gt;"",N(P355)&lt;0),"Service overdue. ","")))</f>
        <v/>
      </c>
      <c r="S355" s="17" t="str">
        <f aca="false">IF(A355="","",IF(CHOOSE(MATCH(Find!$C$4,Lists!$K$2:$K$7,0),F355,E355,J355,K355,L355,G355)=Find!$C$5,MAX(S$4:S354)+1,""))</f>
        <v/>
      </c>
      <c r="T355" s="17" t="str">
        <f aca="false">IF(A355="","",IF(OR(J355=Manifest!$C$4,K355=Manifest!$C$4),MAX(T$4:T354)+1,""))</f>
        <v/>
      </c>
    </row>
    <row r="356" customFormat="false" ht="15" hidden="false" customHeight="false" outlineLevel="0" collapsed="false">
      <c r="C356" s="14"/>
      <c r="E356" s="14"/>
      <c r="F356" s="14"/>
      <c r="G356" s="14"/>
      <c r="H356" s="14"/>
      <c r="M356" s="12"/>
      <c r="O356" s="15" t="str">
        <f aca="false">IF(OR(M356="",N356=""),"",M356+N356)</f>
        <v/>
      </c>
      <c r="P356" s="16" t="str">
        <f aca="true">IF(O356="","",O356-TODAY())</f>
        <v/>
      </c>
      <c r="Q356" s="17" t="str">
        <f aca="false">IF(A356="","",TRIM(IF(E356="","No owner. ","")&amp;IF(F356="","No storage location. ","")&amp;IF(D356="","Serial missing. ","")&amp;IF(OR(H356="",H356="Undecided"),"No disposition. ","")&amp;IF(AND(H356="Ship",J356="",K356=""),"Shipping but no container/vehicle. ","")&amp;IF(AND(J356&lt;&gt;"",K356&lt;&gt;""),"In both a container and a vehicle. ","")&amp;IF(AND(H356="Ship",L356=""),"No destination. ","")&amp;IF(AND(J356&lt;&gt;"",L356&lt;&gt;"",IFERROR(VLOOKUP(J356,Containers!$A$5:$F$60,6,FALSE()),L356)&lt;&gt;L356),"Destination differs from container. ","")&amp;IF(AND(K356&lt;&gt;"",L356&lt;&gt;"",IFERROR(VLOOKUP(K356,Vehicles!$A$5:$F$60,6,FALSE()),L356)&lt;&gt;L356),"Destination differs from vehicle. ","")&amp;IF(AND(H356="Stay",OR(J356&lt;&gt;"",K356&lt;&gt;"",L356&lt;&gt;"")),"Marked Stay but has a container/vehicle/destination. ","")&amp;IF(G356="Missing","Reported missing. ","")&amp;IF(AND(P356&lt;&gt;"",N(P356)&lt;0),"Service overdue. ","")))</f>
        <v/>
      </c>
      <c r="S356" s="17" t="str">
        <f aca="false">IF(A356="","",IF(CHOOSE(MATCH(Find!$C$4,Lists!$K$2:$K$7,0),F356,E356,J356,K356,L356,G356)=Find!$C$5,MAX(S$4:S355)+1,""))</f>
        <v/>
      </c>
      <c r="T356" s="17" t="str">
        <f aca="false">IF(A356="","",IF(OR(J356=Manifest!$C$4,K356=Manifest!$C$4),MAX(T$4:T355)+1,""))</f>
        <v/>
      </c>
    </row>
    <row r="357" customFormat="false" ht="15" hidden="false" customHeight="false" outlineLevel="0" collapsed="false">
      <c r="C357" s="14"/>
      <c r="E357" s="14"/>
      <c r="F357" s="14"/>
      <c r="G357" s="14"/>
      <c r="H357" s="14"/>
      <c r="M357" s="12"/>
      <c r="O357" s="15" t="str">
        <f aca="false">IF(OR(M357="",N357=""),"",M357+N357)</f>
        <v/>
      </c>
      <c r="P357" s="16" t="str">
        <f aca="true">IF(O357="","",O357-TODAY())</f>
        <v/>
      </c>
      <c r="Q357" s="17" t="str">
        <f aca="false">IF(A357="","",TRIM(IF(E357="","No owner. ","")&amp;IF(F357="","No storage location. ","")&amp;IF(D357="","Serial missing. ","")&amp;IF(OR(H357="",H357="Undecided"),"No disposition. ","")&amp;IF(AND(H357="Ship",J357="",K357=""),"Shipping but no container/vehicle. ","")&amp;IF(AND(J357&lt;&gt;"",K357&lt;&gt;""),"In both a container and a vehicle. ","")&amp;IF(AND(H357="Ship",L357=""),"No destination. ","")&amp;IF(AND(J357&lt;&gt;"",L357&lt;&gt;"",IFERROR(VLOOKUP(J357,Containers!$A$5:$F$60,6,FALSE()),L357)&lt;&gt;L357),"Destination differs from container. ","")&amp;IF(AND(K357&lt;&gt;"",L357&lt;&gt;"",IFERROR(VLOOKUP(K357,Vehicles!$A$5:$F$60,6,FALSE()),L357)&lt;&gt;L357),"Destination differs from vehicle. ","")&amp;IF(AND(H357="Stay",OR(J357&lt;&gt;"",K357&lt;&gt;"",L357&lt;&gt;"")),"Marked Stay but has a container/vehicle/destination. ","")&amp;IF(G357="Missing","Reported missing. ","")&amp;IF(AND(P357&lt;&gt;"",N(P357)&lt;0),"Service overdue. ","")))</f>
        <v/>
      </c>
      <c r="S357" s="17" t="str">
        <f aca="false">IF(A357="","",IF(CHOOSE(MATCH(Find!$C$4,Lists!$K$2:$K$7,0),F357,E357,J357,K357,L357,G357)=Find!$C$5,MAX(S$4:S356)+1,""))</f>
        <v/>
      </c>
      <c r="T357" s="17" t="str">
        <f aca="false">IF(A357="","",IF(OR(J357=Manifest!$C$4,K357=Manifest!$C$4),MAX(T$4:T356)+1,""))</f>
        <v/>
      </c>
    </row>
    <row r="358" customFormat="false" ht="15" hidden="false" customHeight="false" outlineLevel="0" collapsed="false">
      <c r="C358" s="14"/>
      <c r="E358" s="14"/>
      <c r="F358" s="14"/>
      <c r="G358" s="14"/>
      <c r="H358" s="14"/>
      <c r="M358" s="12"/>
      <c r="O358" s="15" t="str">
        <f aca="false">IF(OR(M358="",N358=""),"",M358+N358)</f>
        <v/>
      </c>
      <c r="P358" s="16" t="str">
        <f aca="true">IF(O358="","",O358-TODAY())</f>
        <v/>
      </c>
      <c r="Q358" s="17" t="str">
        <f aca="false">IF(A358="","",TRIM(IF(E358="","No owner. ","")&amp;IF(F358="","No storage location. ","")&amp;IF(D358="","Serial missing. ","")&amp;IF(OR(H358="",H358="Undecided"),"No disposition. ","")&amp;IF(AND(H358="Ship",J358="",K358=""),"Shipping but no container/vehicle. ","")&amp;IF(AND(J358&lt;&gt;"",K358&lt;&gt;""),"In both a container and a vehicle. ","")&amp;IF(AND(H358="Ship",L358=""),"No destination. ","")&amp;IF(AND(J358&lt;&gt;"",L358&lt;&gt;"",IFERROR(VLOOKUP(J358,Containers!$A$5:$F$60,6,FALSE()),L358)&lt;&gt;L358),"Destination differs from container. ","")&amp;IF(AND(K358&lt;&gt;"",L358&lt;&gt;"",IFERROR(VLOOKUP(K358,Vehicles!$A$5:$F$60,6,FALSE()),L358)&lt;&gt;L358),"Destination differs from vehicle. ","")&amp;IF(AND(H358="Stay",OR(J358&lt;&gt;"",K358&lt;&gt;"",L358&lt;&gt;"")),"Marked Stay but has a container/vehicle/destination. ","")&amp;IF(G358="Missing","Reported missing. ","")&amp;IF(AND(P358&lt;&gt;"",N(P358)&lt;0),"Service overdue. ","")))</f>
        <v/>
      </c>
      <c r="S358" s="17" t="str">
        <f aca="false">IF(A358="","",IF(CHOOSE(MATCH(Find!$C$4,Lists!$K$2:$K$7,0),F358,E358,J358,K358,L358,G358)=Find!$C$5,MAX(S$4:S357)+1,""))</f>
        <v/>
      </c>
      <c r="T358" s="17" t="str">
        <f aca="false">IF(A358="","",IF(OR(J358=Manifest!$C$4,K358=Manifest!$C$4),MAX(T$4:T357)+1,""))</f>
        <v/>
      </c>
    </row>
    <row r="359" customFormat="false" ht="15" hidden="false" customHeight="false" outlineLevel="0" collapsed="false">
      <c r="C359" s="14"/>
      <c r="E359" s="14"/>
      <c r="F359" s="14"/>
      <c r="G359" s="14"/>
      <c r="H359" s="14"/>
      <c r="M359" s="12"/>
      <c r="O359" s="15" t="str">
        <f aca="false">IF(OR(M359="",N359=""),"",M359+N359)</f>
        <v/>
      </c>
      <c r="P359" s="16" t="str">
        <f aca="true">IF(O359="","",O359-TODAY())</f>
        <v/>
      </c>
      <c r="Q359" s="17" t="str">
        <f aca="false">IF(A359="","",TRIM(IF(E359="","No owner. ","")&amp;IF(F359="","No storage location. ","")&amp;IF(D359="","Serial missing. ","")&amp;IF(OR(H359="",H359="Undecided"),"No disposition. ","")&amp;IF(AND(H359="Ship",J359="",K359=""),"Shipping but no container/vehicle. ","")&amp;IF(AND(J359&lt;&gt;"",K359&lt;&gt;""),"In both a container and a vehicle. ","")&amp;IF(AND(H359="Ship",L359=""),"No destination. ","")&amp;IF(AND(J359&lt;&gt;"",L359&lt;&gt;"",IFERROR(VLOOKUP(J359,Containers!$A$5:$F$60,6,FALSE()),L359)&lt;&gt;L359),"Destination differs from container. ","")&amp;IF(AND(K359&lt;&gt;"",L359&lt;&gt;"",IFERROR(VLOOKUP(K359,Vehicles!$A$5:$F$60,6,FALSE()),L359)&lt;&gt;L359),"Destination differs from vehicle. ","")&amp;IF(AND(H359="Stay",OR(J359&lt;&gt;"",K359&lt;&gt;"",L359&lt;&gt;"")),"Marked Stay but has a container/vehicle/destination. ","")&amp;IF(G359="Missing","Reported missing. ","")&amp;IF(AND(P359&lt;&gt;"",N(P359)&lt;0),"Service overdue. ","")))</f>
        <v/>
      </c>
      <c r="S359" s="17" t="str">
        <f aca="false">IF(A359="","",IF(CHOOSE(MATCH(Find!$C$4,Lists!$K$2:$K$7,0),F359,E359,J359,K359,L359,G359)=Find!$C$5,MAX(S$4:S358)+1,""))</f>
        <v/>
      </c>
      <c r="T359" s="17" t="str">
        <f aca="false">IF(A359="","",IF(OR(J359=Manifest!$C$4,K359=Manifest!$C$4),MAX(T$4:T358)+1,""))</f>
        <v/>
      </c>
    </row>
    <row r="360" customFormat="false" ht="15" hidden="false" customHeight="false" outlineLevel="0" collapsed="false">
      <c r="C360" s="14"/>
      <c r="E360" s="14"/>
      <c r="F360" s="14"/>
      <c r="G360" s="14"/>
      <c r="H360" s="14"/>
      <c r="M360" s="12"/>
      <c r="O360" s="15" t="str">
        <f aca="false">IF(OR(M360="",N360=""),"",M360+N360)</f>
        <v/>
      </c>
      <c r="P360" s="16" t="str">
        <f aca="true">IF(O360="","",O360-TODAY())</f>
        <v/>
      </c>
      <c r="Q360" s="17" t="str">
        <f aca="false">IF(A360="","",TRIM(IF(E360="","No owner. ","")&amp;IF(F360="","No storage location. ","")&amp;IF(D360="","Serial missing. ","")&amp;IF(OR(H360="",H360="Undecided"),"No disposition. ","")&amp;IF(AND(H360="Ship",J360="",K360=""),"Shipping but no container/vehicle. ","")&amp;IF(AND(J360&lt;&gt;"",K360&lt;&gt;""),"In both a container and a vehicle. ","")&amp;IF(AND(H360="Ship",L360=""),"No destination. ","")&amp;IF(AND(J360&lt;&gt;"",L360&lt;&gt;"",IFERROR(VLOOKUP(J360,Containers!$A$5:$F$60,6,FALSE()),L360)&lt;&gt;L360),"Destination differs from container. ","")&amp;IF(AND(K360&lt;&gt;"",L360&lt;&gt;"",IFERROR(VLOOKUP(K360,Vehicles!$A$5:$F$60,6,FALSE()),L360)&lt;&gt;L360),"Destination differs from vehicle. ","")&amp;IF(AND(H360="Stay",OR(J360&lt;&gt;"",K360&lt;&gt;"",L360&lt;&gt;"")),"Marked Stay but has a container/vehicle/destination. ","")&amp;IF(G360="Missing","Reported missing. ","")&amp;IF(AND(P360&lt;&gt;"",N(P360)&lt;0),"Service overdue. ","")))</f>
        <v/>
      </c>
      <c r="S360" s="17" t="str">
        <f aca="false">IF(A360="","",IF(CHOOSE(MATCH(Find!$C$4,Lists!$K$2:$K$7,0),F360,E360,J360,K360,L360,G360)=Find!$C$5,MAX(S$4:S359)+1,""))</f>
        <v/>
      </c>
      <c r="T360" s="17" t="str">
        <f aca="false">IF(A360="","",IF(OR(J360=Manifest!$C$4,K360=Manifest!$C$4),MAX(T$4:T359)+1,""))</f>
        <v/>
      </c>
    </row>
    <row r="361" customFormat="false" ht="15" hidden="false" customHeight="false" outlineLevel="0" collapsed="false">
      <c r="C361" s="14"/>
      <c r="E361" s="14"/>
      <c r="F361" s="14"/>
      <c r="G361" s="14"/>
      <c r="H361" s="14"/>
      <c r="M361" s="12"/>
      <c r="O361" s="15" t="str">
        <f aca="false">IF(OR(M361="",N361=""),"",M361+N361)</f>
        <v/>
      </c>
      <c r="P361" s="16" t="str">
        <f aca="true">IF(O361="","",O361-TODAY())</f>
        <v/>
      </c>
      <c r="Q361" s="17" t="str">
        <f aca="false">IF(A361="","",TRIM(IF(E361="","No owner. ","")&amp;IF(F361="","No storage location. ","")&amp;IF(D361="","Serial missing. ","")&amp;IF(OR(H361="",H361="Undecided"),"No disposition. ","")&amp;IF(AND(H361="Ship",J361="",K361=""),"Shipping but no container/vehicle. ","")&amp;IF(AND(J361&lt;&gt;"",K361&lt;&gt;""),"In both a container and a vehicle. ","")&amp;IF(AND(H361="Ship",L361=""),"No destination. ","")&amp;IF(AND(J361&lt;&gt;"",L361&lt;&gt;"",IFERROR(VLOOKUP(J361,Containers!$A$5:$F$60,6,FALSE()),L361)&lt;&gt;L361),"Destination differs from container. ","")&amp;IF(AND(K361&lt;&gt;"",L361&lt;&gt;"",IFERROR(VLOOKUP(K361,Vehicles!$A$5:$F$60,6,FALSE()),L361)&lt;&gt;L361),"Destination differs from vehicle. ","")&amp;IF(AND(H361="Stay",OR(J361&lt;&gt;"",K361&lt;&gt;"",L361&lt;&gt;"")),"Marked Stay but has a container/vehicle/destination. ","")&amp;IF(G361="Missing","Reported missing. ","")&amp;IF(AND(P361&lt;&gt;"",N(P361)&lt;0),"Service overdue. ","")))</f>
        <v/>
      </c>
      <c r="S361" s="17" t="str">
        <f aca="false">IF(A361="","",IF(CHOOSE(MATCH(Find!$C$4,Lists!$K$2:$K$7,0),F361,E361,J361,K361,L361,G361)=Find!$C$5,MAX(S$4:S360)+1,""))</f>
        <v/>
      </c>
      <c r="T361" s="17" t="str">
        <f aca="false">IF(A361="","",IF(OR(J361=Manifest!$C$4,K361=Manifest!$C$4),MAX(T$4:T360)+1,""))</f>
        <v/>
      </c>
    </row>
    <row r="362" customFormat="false" ht="15" hidden="false" customHeight="false" outlineLevel="0" collapsed="false">
      <c r="C362" s="14"/>
      <c r="E362" s="14"/>
      <c r="F362" s="14"/>
      <c r="G362" s="14"/>
      <c r="H362" s="14"/>
      <c r="M362" s="12"/>
      <c r="O362" s="15" t="str">
        <f aca="false">IF(OR(M362="",N362=""),"",M362+N362)</f>
        <v/>
      </c>
      <c r="P362" s="16" t="str">
        <f aca="true">IF(O362="","",O362-TODAY())</f>
        <v/>
      </c>
      <c r="Q362" s="17" t="str">
        <f aca="false">IF(A362="","",TRIM(IF(E362="","No owner. ","")&amp;IF(F362="","No storage location. ","")&amp;IF(D362="","Serial missing. ","")&amp;IF(OR(H362="",H362="Undecided"),"No disposition. ","")&amp;IF(AND(H362="Ship",J362="",K362=""),"Shipping but no container/vehicle. ","")&amp;IF(AND(J362&lt;&gt;"",K362&lt;&gt;""),"In both a container and a vehicle. ","")&amp;IF(AND(H362="Ship",L362=""),"No destination. ","")&amp;IF(AND(J362&lt;&gt;"",L362&lt;&gt;"",IFERROR(VLOOKUP(J362,Containers!$A$5:$F$60,6,FALSE()),L362)&lt;&gt;L362),"Destination differs from container. ","")&amp;IF(AND(K362&lt;&gt;"",L362&lt;&gt;"",IFERROR(VLOOKUP(K362,Vehicles!$A$5:$F$60,6,FALSE()),L362)&lt;&gt;L362),"Destination differs from vehicle. ","")&amp;IF(AND(H362="Stay",OR(J362&lt;&gt;"",K362&lt;&gt;"",L362&lt;&gt;"")),"Marked Stay but has a container/vehicle/destination. ","")&amp;IF(G362="Missing","Reported missing. ","")&amp;IF(AND(P362&lt;&gt;"",N(P362)&lt;0),"Service overdue. ","")))</f>
        <v/>
      </c>
      <c r="S362" s="17" t="str">
        <f aca="false">IF(A362="","",IF(CHOOSE(MATCH(Find!$C$4,Lists!$K$2:$K$7,0),F362,E362,J362,K362,L362,G362)=Find!$C$5,MAX(S$4:S361)+1,""))</f>
        <v/>
      </c>
      <c r="T362" s="17" t="str">
        <f aca="false">IF(A362="","",IF(OR(J362=Manifest!$C$4,K362=Manifest!$C$4),MAX(T$4:T361)+1,""))</f>
        <v/>
      </c>
    </row>
    <row r="363" customFormat="false" ht="15" hidden="false" customHeight="false" outlineLevel="0" collapsed="false">
      <c r="C363" s="14"/>
      <c r="E363" s="14"/>
      <c r="F363" s="14"/>
      <c r="G363" s="14"/>
      <c r="H363" s="14"/>
      <c r="M363" s="12"/>
      <c r="O363" s="15" t="str">
        <f aca="false">IF(OR(M363="",N363=""),"",M363+N363)</f>
        <v/>
      </c>
      <c r="P363" s="16" t="str">
        <f aca="true">IF(O363="","",O363-TODAY())</f>
        <v/>
      </c>
      <c r="Q363" s="17" t="str">
        <f aca="false">IF(A363="","",TRIM(IF(E363="","No owner. ","")&amp;IF(F363="","No storage location. ","")&amp;IF(D363="","Serial missing. ","")&amp;IF(OR(H363="",H363="Undecided"),"No disposition. ","")&amp;IF(AND(H363="Ship",J363="",K363=""),"Shipping but no container/vehicle. ","")&amp;IF(AND(J363&lt;&gt;"",K363&lt;&gt;""),"In both a container and a vehicle. ","")&amp;IF(AND(H363="Ship",L363=""),"No destination. ","")&amp;IF(AND(J363&lt;&gt;"",L363&lt;&gt;"",IFERROR(VLOOKUP(J363,Containers!$A$5:$F$60,6,FALSE()),L363)&lt;&gt;L363),"Destination differs from container. ","")&amp;IF(AND(K363&lt;&gt;"",L363&lt;&gt;"",IFERROR(VLOOKUP(K363,Vehicles!$A$5:$F$60,6,FALSE()),L363)&lt;&gt;L363),"Destination differs from vehicle. ","")&amp;IF(AND(H363="Stay",OR(J363&lt;&gt;"",K363&lt;&gt;"",L363&lt;&gt;"")),"Marked Stay but has a container/vehicle/destination. ","")&amp;IF(G363="Missing","Reported missing. ","")&amp;IF(AND(P363&lt;&gt;"",N(P363)&lt;0),"Service overdue. ","")))</f>
        <v/>
      </c>
      <c r="S363" s="17" t="str">
        <f aca="false">IF(A363="","",IF(CHOOSE(MATCH(Find!$C$4,Lists!$K$2:$K$7,0),F363,E363,J363,K363,L363,G363)=Find!$C$5,MAX(S$4:S362)+1,""))</f>
        <v/>
      </c>
      <c r="T363" s="17" t="str">
        <f aca="false">IF(A363="","",IF(OR(J363=Manifest!$C$4,K363=Manifest!$C$4),MAX(T$4:T362)+1,""))</f>
        <v/>
      </c>
    </row>
    <row r="364" customFormat="false" ht="15" hidden="false" customHeight="false" outlineLevel="0" collapsed="false">
      <c r="C364" s="14"/>
      <c r="E364" s="14"/>
      <c r="F364" s="14"/>
      <c r="G364" s="14"/>
      <c r="H364" s="14"/>
      <c r="M364" s="12"/>
      <c r="O364" s="15" t="str">
        <f aca="false">IF(OR(M364="",N364=""),"",M364+N364)</f>
        <v/>
      </c>
      <c r="P364" s="16" t="str">
        <f aca="true">IF(O364="","",O364-TODAY())</f>
        <v/>
      </c>
      <c r="Q364" s="17" t="str">
        <f aca="false">IF(A364="","",TRIM(IF(E364="","No owner. ","")&amp;IF(F364="","No storage location. ","")&amp;IF(D364="","Serial missing. ","")&amp;IF(OR(H364="",H364="Undecided"),"No disposition. ","")&amp;IF(AND(H364="Ship",J364="",K364=""),"Shipping but no container/vehicle. ","")&amp;IF(AND(J364&lt;&gt;"",K364&lt;&gt;""),"In both a container and a vehicle. ","")&amp;IF(AND(H364="Ship",L364=""),"No destination. ","")&amp;IF(AND(J364&lt;&gt;"",L364&lt;&gt;"",IFERROR(VLOOKUP(J364,Containers!$A$5:$F$60,6,FALSE()),L364)&lt;&gt;L364),"Destination differs from container. ","")&amp;IF(AND(K364&lt;&gt;"",L364&lt;&gt;"",IFERROR(VLOOKUP(K364,Vehicles!$A$5:$F$60,6,FALSE()),L364)&lt;&gt;L364),"Destination differs from vehicle. ","")&amp;IF(AND(H364="Stay",OR(J364&lt;&gt;"",K364&lt;&gt;"",L364&lt;&gt;"")),"Marked Stay but has a container/vehicle/destination. ","")&amp;IF(G364="Missing","Reported missing. ","")&amp;IF(AND(P364&lt;&gt;"",N(P364)&lt;0),"Service overdue. ","")))</f>
        <v/>
      </c>
      <c r="S364" s="17" t="str">
        <f aca="false">IF(A364="","",IF(CHOOSE(MATCH(Find!$C$4,Lists!$K$2:$K$7,0),F364,E364,J364,K364,L364,G364)=Find!$C$5,MAX(S$4:S363)+1,""))</f>
        <v/>
      </c>
      <c r="T364" s="17" t="str">
        <f aca="false">IF(A364="","",IF(OR(J364=Manifest!$C$4,K364=Manifest!$C$4),MAX(T$4:T363)+1,""))</f>
        <v/>
      </c>
    </row>
    <row r="365" customFormat="false" ht="15" hidden="false" customHeight="false" outlineLevel="0" collapsed="false">
      <c r="C365" s="14"/>
      <c r="E365" s="14"/>
      <c r="F365" s="14"/>
      <c r="G365" s="14"/>
      <c r="H365" s="14"/>
      <c r="M365" s="12"/>
      <c r="O365" s="15" t="str">
        <f aca="false">IF(OR(M365="",N365=""),"",M365+N365)</f>
        <v/>
      </c>
      <c r="P365" s="16" t="str">
        <f aca="true">IF(O365="","",O365-TODAY())</f>
        <v/>
      </c>
      <c r="Q365" s="17" t="str">
        <f aca="false">IF(A365="","",TRIM(IF(E365="","No owner. ","")&amp;IF(F365="","No storage location. ","")&amp;IF(D365="","Serial missing. ","")&amp;IF(OR(H365="",H365="Undecided"),"No disposition. ","")&amp;IF(AND(H365="Ship",J365="",K365=""),"Shipping but no container/vehicle. ","")&amp;IF(AND(J365&lt;&gt;"",K365&lt;&gt;""),"In both a container and a vehicle. ","")&amp;IF(AND(H365="Ship",L365=""),"No destination. ","")&amp;IF(AND(J365&lt;&gt;"",L365&lt;&gt;"",IFERROR(VLOOKUP(J365,Containers!$A$5:$F$60,6,FALSE()),L365)&lt;&gt;L365),"Destination differs from container. ","")&amp;IF(AND(K365&lt;&gt;"",L365&lt;&gt;"",IFERROR(VLOOKUP(K365,Vehicles!$A$5:$F$60,6,FALSE()),L365)&lt;&gt;L365),"Destination differs from vehicle. ","")&amp;IF(AND(H365="Stay",OR(J365&lt;&gt;"",K365&lt;&gt;"",L365&lt;&gt;"")),"Marked Stay but has a container/vehicle/destination. ","")&amp;IF(G365="Missing","Reported missing. ","")&amp;IF(AND(P365&lt;&gt;"",N(P365)&lt;0),"Service overdue. ","")))</f>
        <v/>
      </c>
      <c r="S365" s="17" t="str">
        <f aca="false">IF(A365="","",IF(CHOOSE(MATCH(Find!$C$4,Lists!$K$2:$K$7,0),F365,E365,J365,K365,L365,G365)=Find!$C$5,MAX(S$4:S364)+1,""))</f>
        <v/>
      </c>
      <c r="T365" s="17" t="str">
        <f aca="false">IF(A365="","",IF(OR(J365=Manifest!$C$4,K365=Manifest!$C$4),MAX(T$4:T364)+1,""))</f>
        <v/>
      </c>
    </row>
    <row r="366" customFormat="false" ht="15" hidden="false" customHeight="false" outlineLevel="0" collapsed="false">
      <c r="C366" s="14"/>
      <c r="E366" s="14"/>
      <c r="F366" s="14"/>
      <c r="G366" s="14"/>
      <c r="H366" s="14"/>
      <c r="M366" s="12"/>
      <c r="O366" s="15" t="str">
        <f aca="false">IF(OR(M366="",N366=""),"",M366+N366)</f>
        <v/>
      </c>
      <c r="P366" s="16" t="str">
        <f aca="true">IF(O366="","",O366-TODAY())</f>
        <v/>
      </c>
      <c r="Q366" s="17" t="str">
        <f aca="false">IF(A366="","",TRIM(IF(E366="","No owner. ","")&amp;IF(F366="","No storage location. ","")&amp;IF(D366="","Serial missing. ","")&amp;IF(OR(H366="",H366="Undecided"),"No disposition. ","")&amp;IF(AND(H366="Ship",J366="",K366=""),"Shipping but no container/vehicle. ","")&amp;IF(AND(J366&lt;&gt;"",K366&lt;&gt;""),"In both a container and a vehicle. ","")&amp;IF(AND(H366="Ship",L366=""),"No destination. ","")&amp;IF(AND(J366&lt;&gt;"",L366&lt;&gt;"",IFERROR(VLOOKUP(J366,Containers!$A$5:$F$60,6,FALSE()),L366)&lt;&gt;L366),"Destination differs from container. ","")&amp;IF(AND(K366&lt;&gt;"",L366&lt;&gt;"",IFERROR(VLOOKUP(K366,Vehicles!$A$5:$F$60,6,FALSE()),L366)&lt;&gt;L366),"Destination differs from vehicle. ","")&amp;IF(AND(H366="Stay",OR(J366&lt;&gt;"",K366&lt;&gt;"",L366&lt;&gt;"")),"Marked Stay but has a container/vehicle/destination. ","")&amp;IF(G366="Missing","Reported missing. ","")&amp;IF(AND(P366&lt;&gt;"",N(P366)&lt;0),"Service overdue. ","")))</f>
        <v/>
      </c>
      <c r="S366" s="17" t="str">
        <f aca="false">IF(A366="","",IF(CHOOSE(MATCH(Find!$C$4,Lists!$K$2:$K$7,0),F366,E366,J366,K366,L366,G366)=Find!$C$5,MAX(S$4:S365)+1,""))</f>
        <v/>
      </c>
      <c r="T366" s="17" t="str">
        <f aca="false">IF(A366="","",IF(OR(J366=Manifest!$C$4,K366=Manifest!$C$4),MAX(T$4:T365)+1,""))</f>
        <v/>
      </c>
    </row>
    <row r="367" customFormat="false" ht="15" hidden="false" customHeight="false" outlineLevel="0" collapsed="false">
      <c r="C367" s="14"/>
      <c r="E367" s="14"/>
      <c r="F367" s="14"/>
      <c r="G367" s="14"/>
      <c r="H367" s="14"/>
      <c r="M367" s="12"/>
      <c r="O367" s="15" t="str">
        <f aca="false">IF(OR(M367="",N367=""),"",M367+N367)</f>
        <v/>
      </c>
      <c r="P367" s="16" t="str">
        <f aca="true">IF(O367="","",O367-TODAY())</f>
        <v/>
      </c>
      <c r="Q367" s="17" t="str">
        <f aca="false">IF(A367="","",TRIM(IF(E367="","No owner. ","")&amp;IF(F367="","No storage location. ","")&amp;IF(D367="","Serial missing. ","")&amp;IF(OR(H367="",H367="Undecided"),"No disposition. ","")&amp;IF(AND(H367="Ship",J367="",K367=""),"Shipping but no container/vehicle. ","")&amp;IF(AND(J367&lt;&gt;"",K367&lt;&gt;""),"In both a container and a vehicle. ","")&amp;IF(AND(H367="Ship",L367=""),"No destination. ","")&amp;IF(AND(J367&lt;&gt;"",L367&lt;&gt;"",IFERROR(VLOOKUP(J367,Containers!$A$5:$F$60,6,FALSE()),L367)&lt;&gt;L367),"Destination differs from container. ","")&amp;IF(AND(K367&lt;&gt;"",L367&lt;&gt;"",IFERROR(VLOOKUP(K367,Vehicles!$A$5:$F$60,6,FALSE()),L367)&lt;&gt;L367),"Destination differs from vehicle. ","")&amp;IF(AND(H367="Stay",OR(J367&lt;&gt;"",K367&lt;&gt;"",L367&lt;&gt;"")),"Marked Stay but has a container/vehicle/destination. ","")&amp;IF(G367="Missing","Reported missing. ","")&amp;IF(AND(P367&lt;&gt;"",N(P367)&lt;0),"Service overdue. ","")))</f>
        <v/>
      </c>
      <c r="S367" s="17" t="str">
        <f aca="false">IF(A367="","",IF(CHOOSE(MATCH(Find!$C$4,Lists!$K$2:$K$7,0),F367,E367,J367,K367,L367,G367)=Find!$C$5,MAX(S$4:S366)+1,""))</f>
        <v/>
      </c>
      <c r="T367" s="17" t="str">
        <f aca="false">IF(A367="","",IF(OR(J367=Manifest!$C$4,K367=Manifest!$C$4),MAX(T$4:T366)+1,""))</f>
        <v/>
      </c>
    </row>
    <row r="368" customFormat="false" ht="15" hidden="false" customHeight="false" outlineLevel="0" collapsed="false">
      <c r="C368" s="14"/>
      <c r="E368" s="14"/>
      <c r="F368" s="14"/>
      <c r="G368" s="14"/>
      <c r="H368" s="14"/>
      <c r="M368" s="12"/>
      <c r="O368" s="15" t="str">
        <f aca="false">IF(OR(M368="",N368=""),"",M368+N368)</f>
        <v/>
      </c>
      <c r="P368" s="16" t="str">
        <f aca="true">IF(O368="","",O368-TODAY())</f>
        <v/>
      </c>
      <c r="Q368" s="17" t="str">
        <f aca="false">IF(A368="","",TRIM(IF(E368="","No owner. ","")&amp;IF(F368="","No storage location. ","")&amp;IF(D368="","Serial missing. ","")&amp;IF(OR(H368="",H368="Undecided"),"No disposition. ","")&amp;IF(AND(H368="Ship",J368="",K368=""),"Shipping but no container/vehicle. ","")&amp;IF(AND(J368&lt;&gt;"",K368&lt;&gt;""),"In both a container and a vehicle. ","")&amp;IF(AND(H368="Ship",L368=""),"No destination. ","")&amp;IF(AND(J368&lt;&gt;"",L368&lt;&gt;"",IFERROR(VLOOKUP(J368,Containers!$A$5:$F$60,6,FALSE()),L368)&lt;&gt;L368),"Destination differs from container. ","")&amp;IF(AND(K368&lt;&gt;"",L368&lt;&gt;"",IFERROR(VLOOKUP(K368,Vehicles!$A$5:$F$60,6,FALSE()),L368)&lt;&gt;L368),"Destination differs from vehicle. ","")&amp;IF(AND(H368="Stay",OR(J368&lt;&gt;"",K368&lt;&gt;"",L368&lt;&gt;"")),"Marked Stay but has a container/vehicle/destination. ","")&amp;IF(G368="Missing","Reported missing. ","")&amp;IF(AND(P368&lt;&gt;"",N(P368)&lt;0),"Service overdue. ","")))</f>
        <v/>
      </c>
      <c r="S368" s="17" t="str">
        <f aca="false">IF(A368="","",IF(CHOOSE(MATCH(Find!$C$4,Lists!$K$2:$K$7,0),F368,E368,J368,K368,L368,G368)=Find!$C$5,MAX(S$4:S367)+1,""))</f>
        <v/>
      </c>
      <c r="T368" s="17" t="str">
        <f aca="false">IF(A368="","",IF(OR(J368=Manifest!$C$4,K368=Manifest!$C$4),MAX(T$4:T367)+1,""))</f>
        <v/>
      </c>
    </row>
    <row r="369" customFormat="false" ht="15" hidden="false" customHeight="false" outlineLevel="0" collapsed="false">
      <c r="C369" s="14"/>
      <c r="E369" s="14"/>
      <c r="F369" s="14"/>
      <c r="G369" s="14"/>
      <c r="H369" s="14"/>
      <c r="M369" s="12"/>
      <c r="O369" s="15" t="str">
        <f aca="false">IF(OR(M369="",N369=""),"",M369+N369)</f>
        <v/>
      </c>
      <c r="P369" s="16" t="str">
        <f aca="true">IF(O369="","",O369-TODAY())</f>
        <v/>
      </c>
      <c r="Q369" s="17" t="str">
        <f aca="false">IF(A369="","",TRIM(IF(E369="","No owner. ","")&amp;IF(F369="","No storage location. ","")&amp;IF(D369="","Serial missing. ","")&amp;IF(OR(H369="",H369="Undecided"),"No disposition. ","")&amp;IF(AND(H369="Ship",J369="",K369=""),"Shipping but no container/vehicle. ","")&amp;IF(AND(J369&lt;&gt;"",K369&lt;&gt;""),"In both a container and a vehicle. ","")&amp;IF(AND(H369="Ship",L369=""),"No destination. ","")&amp;IF(AND(J369&lt;&gt;"",L369&lt;&gt;"",IFERROR(VLOOKUP(J369,Containers!$A$5:$F$60,6,FALSE()),L369)&lt;&gt;L369),"Destination differs from container. ","")&amp;IF(AND(K369&lt;&gt;"",L369&lt;&gt;"",IFERROR(VLOOKUP(K369,Vehicles!$A$5:$F$60,6,FALSE()),L369)&lt;&gt;L369),"Destination differs from vehicle. ","")&amp;IF(AND(H369="Stay",OR(J369&lt;&gt;"",K369&lt;&gt;"",L369&lt;&gt;"")),"Marked Stay but has a container/vehicle/destination. ","")&amp;IF(G369="Missing","Reported missing. ","")&amp;IF(AND(P369&lt;&gt;"",N(P369)&lt;0),"Service overdue. ","")))</f>
        <v/>
      </c>
      <c r="S369" s="17" t="str">
        <f aca="false">IF(A369="","",IF(CHOOSE(MATCH(Find!$C$4,Lists!$K$2:$K$7,0),F369,E369,J369,K369,L369,G369)=Find!$C$5,MAX(S$4:S368)+1,""))</f>
        <v/>
      </c>
      <c r="T369" s="17" t="str">
        <f aca="false">IF(A369="","",IF(OR(J369=Manifest!$C$4,K369=Manifest!$C$4),MAX(T$4:T368)+1,""))</f>
        <v/>
      </c>
    </row>
    <row r="370" customFormat="false" ht="15" hidden="false" customHeight="false" outlineLevel="0" collapsed="false">
      <c r="C370" s="14"/>
      <c r="E370" s="14"/>
      <c r="F370" s="14"/>
      <c r="G370" s="14"/>
      <c r="H370" s="14"/>
      <c r="M370" s="12"/>
      <c r="O370" s="15" t="str">
        <f aca="false">IF(OR(M370="",N370=""),"",M370+N370)</f>
        <v/>
      </c>
      <c r="P370" s="16" t="str">
        <f aca="true">IF(O370="","",O370-TODAY())</f>
        <v/>
      </c>
      <c r="Q370" s="17" t="str">
        <f aca="false">IF(A370="","",TRIM(IF(E370="","No owner. ","")&amp;IF(F370="","No storage location. ","")&amp;IF(D370="","Serial missing. ","")&amp;IF(OR(H370="",H370="Undecided"),"No disposition. ","")&amp;IF(AND(H370="Ship",J370="",K370=""),"Shipping but no container/vehicle. ","")&amp;IF(AND(J370&lt;&gt;"",K370&lt;&gt;""),"In both a container and a vehicle. ","")&amp;IF(AND(H370="Ship",L370=""),"No destination. ","")&amp;IF(AND(J370&lt;&gt;"",L370&lt;&gt;"",IFERROR(VLOOKUP(J370,Containers!$A$5:$F$60,6,FALSE()),L370)&lt;&gt;L370),"Destination differs from container. ","")&amp;IF(AND(K370&lt;&gt;"",L370&lt;&gt;"",IFERROR(VLOOKUP(K370,Vehicles!$A$5:$F$60,6,FALSE()),L370)&lt;&gt;L370),"Destination differs from vehicle. ","")&amp;IF(AND(H370="Stay",OR(J370&lt;&gt;"",K370&lt;&gt;"",L370&lt;&gt;"")),"Marked Stay but has a container/vehicle/destination. ","")&amp;IF(G370="Missing","Reported missing. ","")&amp;IF(AND(P370&lt;&gt;"",N(P370)&lt;0),"Service overdue. ","")))</f>
        <v/>
      </c>
      <c r="S370" s="17" t="str">
        <f aca="false">IF(A370="","",IF(CHOOSE(MATCH(Find!$C$4,Lists!$K$2:$K$7,0),F370,E370,J370,K370,L370,G370)=Find!$C$5,MAX(S$4:S369)+1,""))</f>
        <v/>
      </c>
      <c r="T370" s="17" t="str">
        <f aca="false">IF(A370="","",IF(OR(J370=Manifest!$C$4,K370=Manifest!$C$4),MAX(T$4:T369)+1,""))</f>
        <v/>
      </c>
    </row>
    <row r="371" customFormat="false" ht="15" hidden="false" customHeight="false" outlineLevel="0" collapsed="false">
      <c r="C371" s="14"/>
      <c r="E371" s="14"/>
      <c r="F371" s="14"/>
      <c r="G371" s="14"/>
      <c r="H371" s="14"/>
      <c r="M371" s="12"/>
      <c r="O371" s="15" t="str">
        <f aca="false">IF(OR(M371="",N371=""),"",M371+N371)</f>
        <v/>
      </c>
      <c r="P371" s="16" t="str">
        <f aca="true">IF(O371="","",O371-TODAY())</f>
        <v/>
      </c>
      <c r="Q371" s="17" t="str">
        <f aca="false">IF(A371="","",TRIM(IF(E371="","No owner. ","")&amp;IF(F371="","No storage location. ","")&amp;IF(D371="","Serial missing. ","")&amp;IF(OR(H371="",H371="Undecided"),"No disposition. ","")&amp;IF(AND(H371="Ship",J371="",K371=""),"Shipping but no container/vehicle. ","")&amp;IF(AND(J371&lt;&gt;"",K371&lt;&gt;""),"In both a container and a vehicle. ","")&amp;IF(AND(H371="Ship",L371=""),"No destination. ","")&amp;IF(AND(J371&lt;&gt;"",L371&lt;&gt;"",IFERROR(VLOOKUP(J371,Containers!$A$5:$F$60,6,FALSE()),L371)&lt;&gt;L371),"Destination differs from container. ","")&amp;IF(AND(K371&lt;&gt;"",L371&lt;&gt;"",IFERROR(VLOOKUP(K371,Vehicles!$A$5:$F$60,6,FALSE()),L371)&lt;&gt;L371),"Destination differs from vehicle. ","")&amp;IF(AND(H371="Stay",OR(J371&lt;&gt;"",K371&lt;&gt;"",L371&lt;&gt;"")),"Marked Stay but has a container/vehicle/destination. ","")&amp;IF(G371="Missing","Reported missing. ","")&amp;IF(AND(P371&lt;&gt;"",N(P371)&lt;0),"Service overdue. ","")))</f>
        <v/>
      </c>
      <c r="S371" s="17" t="str">
        <f aca="false">IF(A371="","",IF(CHOOSE(MATCH(Find!$C$4,Lists!$K$2:$K$7,0),F371,E371,J371,K371,L371,G371)=Find!$C$5,MAX(S$4:S370)+1,""))</f>
        <v/>
      </c>
      <c r="T371" s="17" t="str">
        <f aca="false">IF(A371="","",IF(OR(J371=Manifest!$C$4,K371=Manifest!$C$4),MAX(T$4:T370)+1,""))</f>
        <v/>
      </c>
    </row>
    <row r="372" customFormat="false" ht="15" hidden="false" customHeight="false" outlineLevel="0" collapsed="false">
      <c r="C372" s="14"/>
      <c r="E372" s="14"/>
      <c r="F372" s="14"/>
      <c r="G372" s="14"/>
      <c r="H372" s="14"/>
      <c r="M372" s="12"/>
      <c r="O372" s="15" t="str">
        <f aca="false">IF(OR(M372="",N372=""),"",M372+N372)</f>
        <v/>
      </c>
      <c r="P372" s="16" t="str">
        <f aca="true">IF(O372="","",O372-TODAY())</f>
        <v/>
      </c>
      <c r="Q372" s="17" t="str">
        <f aca="false">IF(A372="","",TRIM(IF(E372="","No owner. ","")&amp;IF(F372="","No storage location. ","")&amp;IF(D372="","Serial missing. ","")&amp;IF(OR(H372="",H372="Undecided"),"No disposition. ","")&amp;IF(AND(H372="Ship",J372="",K372=""),"Shipping but no container/vehicle. ","")&amp;IF(AND(J372&lt;&gt;"",K372&lt;&gt;""),"In both a container and a vehicle. ","")&amp;IF(AND(H372="Ship",L372=""),"No destination. ","")&amp;IF(AND(J372&lt;&gt;"",L372&lt;&gt;"",IFERROR(VLOOKUP(J372,Containers!$A$5:$F$60,6,FALSE()),L372)&lt;&gt;L372),"Destination differs from container. ","")&amp;IF(AND(K372&lt;&gt;"",L372&lt;&gt;"",IFERROR(VLOOKUP(K372,Vehicles!$A$5:$F$60,6,FALSE()),L372)&lt;&gt;L372),"Destination differs from vehicle. ","")&amp;IF(AND(H372="Stay",OR(J372&lt;&gt;"",K372&lt;&gt;"",L372&lt;&gt;"")),"Marked Stay but has a container/vehicle/destination. ","")&amp;IF(G372="Missing","Reported missing. ","")&amp;IF(AND(P372&lt;&gt;"",N(P372)&lt;0),"Service overdue. ","")))</f>
        <v/>
      </c>
      <c r="S372" s="17" t="str">
        <f aca="false">IF(A372="","",IF(CHOOSE(MATCH(Find!$C$4,Lists!$K$2:$K$7,0),F372,E372,J372,K372,L372,G372)=Find!$C$5,MAX(S$4:S371)+1,""))</f>
        <v/>
      </c>
      <c r="T372" s="17" t="str">
        <f aca="false">IF(A372="","",IF(OR(J372=Manifest!$C$4,K372=Manifest!$C$4),MAX(T$4:T371)+1,""))</f>
        <v/>
      </c>
    </row>
    <row r="373" customFormat="false" ht="15" hidden="false" customHeight="false" outlineLevel="0" collapsed="false">
      <c r="C373" s="14"/>
      <c r="E373" s="14"/>
      <c r="F373" s="14"/>
      <c r="G373" s="14"/>
      <c r="H373" s="14"/>
      <c r="M373" s="12"/>
      <c r="O373" s="15" t="str">
        <f aca="false">IF(OR(M373="",N373=""),"",M373+N373)</f>
        <v/>
      </c>
      <c r="P373" s="16" t="str">
        <f aca="true">IF(O373="","",O373-TODAY())</f>
        <v/>
      </c>
      <c r="Q373" s="17" t="str">
        <f aca="false">IF(A373="","",TRIM(IF(E373="","No owner. ","")&amp;IF(F373="","No storage location. ","")&amp;IF(D373="","Serial missing. ","")&amp;IF(OR(H373="",H373="Undecided"),"No disposition. ","")&amp;IF(AND(H373="Ship",J373="",K373=""),"Shipping but no container/vehicle. ","")&amp;IF(AND(J373&lt;&gt;"",K373&lt;&gt;""),"In both a container and a vehicle. ","")&amp;IF(AND(H373="Ship",L373=""),"No destination. ","")&amp;IF(AND(J373&lt;&gt;"",L373&lt;&gt;"",IFERROR(VLOOKUP(J373,Containers!$A$5:$F$60,6,FALSE()),L373)&lt;&gt;L373),"Destination differs from container. ","")&amp;IF(AND(K373&lt;&gt;"",L373&lt;&gt;"",IFERROR(VLOOKUP(K373,Vehicles!$A$5:$F$60,6,FALSE()),L373)&lt;&gt;L373),"Destination differs from vehicle. ","")&amp;IF(AND(H373="Stay",OR(J373&lt;&gt;"",K373&lt;&gt;"",L373&lt;&gt;"")),"Marked Stay but has a container/vehicle/destination. ","")&amp;IF(G373="Missing","Reported missing. ","")&amp;IF(AND(P373&lt;&gt;"",N(P373)&lt;0),"Service overdue. ","")))</f>
        <v/>
      </c>
      <c r="S373" s="17" t="str">
        <f aca="false">IF(A373="","",IF(CHOOSE(MATCH(Find!$C$4,Lists!$K$2:$K$7,0),F373,E373,J373,K373,L373,G373)=Find!$C$5,MAX(S$4:S372)+1,""))</f>
        <v/>
      </c>
      <c r="T373" s="17" t="str">
        <f aca="false">IF(A373="","",IF(OR(J373=Manifest!$C$4,K373=Manifest!$C$4),MAX(T$4:T372)+1,""))</f>
        <v/>
      </c>
    </row>
    <row r="374" customFormat="false" ht="15" hidden="false" customHeight="false" outlineLevel="0" collapsed="false">
      <c r="C374" s="14"/>
      <c r="E374" s="14"/>
      <c r="F374" s="14"/>
      <c r="G374" s="14"/>
      <c r="H374" s="14"/>
      <c r="M374" s="12"/>
      <c r="O374" s="15" t="str">
        <f aca="false">IF(OR(M374="",N374=""),"",M374+N374)</f>
        <v/>
      </c>
      <c r="P374" s="16" t="str">
        <f aca="true">IF(O374="","",O374-TODAY())</f>
        <v/>
      </c>
      <c r="Q374" s="17" t="str">
        <f aca="false">IF(A374="","",TRIM(IF(E374="","No owner. ","")&amp;IF(F374="","No storage location. ","")&amp;IF(D374="","Serial missing. ","")&amp;IF(OR(H374="",H374="Undecided"),"No disposition. ","")&amp;IF(AND(H374="Ship",J374="",K374=""),"Shipping but no container/vehicle. ","")&amp;IF(AND(J374&lt;&gt;"",K374&lt;&gt;""),"In both a container and a vehicle. ","")&amp;IF(AND(H374="Ship",L374=""),"No destination. ","")&amp;IF(AND(J374&lt;&gt;"",L374&lt;&gt;"",IFERROR(VLOOKUP(J374,Containers!$A$5:$F$60,6,FALSE()),L374)&lt;&gt;L374),"Destination differs from container. ","")&amp;IF(AND(K374&lt;&gt;"",L374&lt;&gt;"",IFERROR(VLOOKUP(K374,Vehicles!$A$5:$F$60,6,FALSE()),L374)&lt;&gt;L374),"Destination differs from vehicle. ","")&amp;IF(AND(H374="Stay",OR(J374&lt;&gt;"",K374&lt;&gt;"",L374&lt;&gt;"")),"Marked Stay but has a container/vehicle/destination. ","")&amp;IF(G374="Missing","Reported missing. ","")&amp;IF(AND(P374&lt;&gt;"",N(P374)&lt;0),"Service overdue. ","")))</f>
        <v/>
      </c>
      <c r="S374" s="17" t="str">
        <f aca="false">IF(A374="","",IF(CHOOSE(MATCH(Find!$C$4,Lists!$K$2:$K$7,0),F374,E374,J374,K374,L374,G374)=Find!$C$5,MAX(S$4:S373)+1,""))</f>
        <v/>
      </c>
      <c r="T374" s="17" t="str">
        <f aca="false">IF(A374="","",IF(OR(J374=Manifest!$C$4,K374=Manifest!$C$4),MAX(T$4:T373)+1,""))</f>
        <v/>
      </c>
    </row>
    <row r="375" customFormat="false" ht="15" hidden="false" customHeight="false" outlineLevel="0" collapsed="false">
      <c r="C375" s="14"/>
      <c r="E375" s="14"/>
      <c r="F375" s="14"/>
      <c r="G375" s="14"/>
      <c r="H375" s="14"/>
      <c r="M375" s="12"/>
      <c r="O375" s="15" t="str">
        <f aca="false">IF(OR(M375="",N375=""),"",M375+N375)</f>
        <v/>
      </c>
      <c r="P375" s="16" t="str">
        <f aca="true">IF(O375="","",O375-TODAY())</f>
        <v/>
      </c>
      <c r="Q375" s="17" t="str">
        <f aca="false">IF(A375="","",TRIM(IF(E375="","No owner. ","")&amp;IF(F375="","No storage location. ","")&amp;IF(D375="","Serial missing. ","")&amp;IF(OR(H375="",H375="Undecided"),"No disposition. ","")&amp;IF(AND(H375="Ship",J375="",K375=""),"Shipping but no container/vehicle. ","")&amp;IF(AND(J375&lt;&gt;"",K375&lt;&gt;""),"In both a container and a vehicle. ","")&amp;IF(AND(H375="Ship",L375=""),"No destination. ","")&amp;IF(AND(J375&lt;&gt;"",L375&lt;&gt;"",IFERROR(VLOOKUP(J375,Containers!$A$5:$F$60,6,FALSE()),L375)&lt;&gt;L375),"Destination differs from container. ","")&amp;IF(AND(K375&lt;&gt;"",L375&lt;&gt;"",IFERROR(VLOOKUP(K375,Vehicles!$A$5:$F$60,6,FALSE()),L375)&lt;&gt;L375),"Destination differs from vehicle. ","")&amp;IF(AND(H375="Stay",OR(J375&lt;&gt;"",K375&lt;&gt;"",L375&lt;&gt;"")),"Marked Stay but has a container/vehicle/destination. ","")&amp;IF(G375="Missing","Reported missing. ","")&amp;IF(AND(P375&lt;&gt;"",N(P375)&lt;0),"Service overdue. ","")))</f>
        <v/>
      </c>
      <c r="S375" s="17" t="str">
        <f aca="false">IF(A375="","",IF(CHOOSE(MATCH(Find!$C$4,Lists!$K$2:$K$7,0),F375,E375,J375,K375,L375,G375)=Find!$C$5,MAX(S$4:S374)+1,""))</f>
        <v/>
      </c>
      <c r="T375" s="17" t="str">
        <f aca="false">IF(A375="","",IF(OR(J375=Manifest!$C$4,K375=Manifest!$C$4),MAX(T$4:T374)+1,""))</f>
        <v/>
      </c>
    </row>
    <row r="376" customFormat="false" ht="15" hidden="false" customHeight="false" outlineLevel="0" collapsed="false">
      <c r="C376" s="14"/>
      <c r="E376" s="14"/>
      <c r="F376" s="14"/>
      <c r="G376" s="14"/>
      <c r="H376" s="14"/>
      <c r="M376" s="12"/>
      <c r="O376" s="15" t="str">
        <f aca="false">IF(OR(M376="",N376=""),"",M376+N376)</f>
        <v/>
      </c>
      <c r="P376" s="16" t="str">
        <f aca="true">IF(O376="","",O376-TODAY())</f>
        <v/>
      </c>
      <c r="Q376" s="17" t="str">
        <f aca="false">IF(A376="","",TRIM(IF(E376="","No owner. ","")&amp;IF(F376="","No storage location. ","")&amp;IF(D376="","Serial missing. ","")&amp;IF(OR(H376="",H376="Undecided"),"No disposition. ","")&amp;IF(AND(H376="Ship",J376="",K376=""),"Shipping but no container/vehicle. ","")&amp;IF(AND(J376&lt;&gt;"",K376&lt;&gt;""),"In both a container and a vehicle. ","")&amp;IF(AND(H376="Ship",L376=""),"No destination. ","")&amp;IF(AND(J376&lt;&gt;"",L376&lt;&gt;"",IFERROR(VLOOKUP(J376,Containers!$A$5:$F$60,6,FALSE()),L376)&lt;&gt;L376),"Destination differs from container. ","")&amp;IF(AND(K376&lt;&gt;"",L376&lt;&gt;"",IFERROR(VLOOKUP(K376,Vehicles!$A$5:$F$60,6,FALSE()),L376)&lt;&gt;L376),"Destination differs from vehicle. ","")&amp;IF(AND(H376="Stay",OR(J376&lt;&gt;"",K376&lt;&gt;"",L376&lt;&gt;"")),"Marked Stay but has a container/vehicle/destination. ","")&amp;IF(G376="Missing","Reported missing. ","")&amp;IF(AND(P376&lt;&gt;"",N(P376)&lt;0),"Service overdue. ","")))</f>
        <v/>
      </c>
      <c r="S376" s="17" t="str">
        <f aca="false">IF(A376="","",IF(CHOOSE(MATCH(Find!$C$4,Lists!$K$2:$K$7,0),F376,E376,J376,K376,L376,G376)=Find!$C$5,MAX(S$4:S375)+1,""))</f>
        <v/>
      </c>
      <c r="T376" s="17" t="str">
        <f aca="false">IF(A376="","",IF(OR(J376=Manifest!$C$4,K376=Manifest!$C$4),MAX(T$4:T375)+1,""))</f>
        <v/>
      </c>
    </row>
    <row r="377" customFormat="false" ht="15" hidden="false" customHeight="false" outlineLevel="0" collapsed="false">
      <c r="C377" s="14"/>
      <c r="E377" s="14"/>
      <c r="F377" s="14"/>
      <c r="G377" s="14"/>
      <c r="H377" s="14"/>
      <c r="M377" s="12"/>
      <c r="O377" s="15" t="str">
        <f aca="false">IF(OR(M377="",N377=""),"",M377+N377)</f>
        <v/>
      </c>
      <c r="P377" s="16" t="str">
        <f aca="true">IF(O377="","",O377-TODAY())</f>
        <v/>
      </c>
      <c r="Q377" s="17" t="str">
        <f aca="false">IF(A377="","",TRIM(IF(E377="","No owner. ","")&amp;IF(F377="","No storage location. ","")&amp;IF(D377="","Serial missing. ","")&amp;IF(OR(H377="",H377="Undecided"),"No disposition. ","")&amp;IF(AND(H377="Ship",J377="",K377=""),"Shipping but no container/vehicle. ","")&amp;IF(AND(J377&lt;&gt;"",K377&lt;&gt;""),"In both a container and a vehicle. ","")&amp;IF(AND(H377="Ship",L377=""),"No destination. ","")&amp;IF(AND(J377&lt;&gt;"",L377&lt;&gt;"",IFERROR(VLOOKUP(J377,Containers!$A$5:$F$60,6,FALSE()),L377)&lt;&gt;L377),"Destination differs from container. ","")&amp;IF(AND(K377&lt;&gt;"",L377&lt;&gt;"",IFERROR(VLOOKUP(K377,Vehicles!$A$5:$F$60,6,FALSE()),L377)&lt;&gt;L377),"Destination differs from vehicle. ","")&amp;IF(AND(H377="Stay",OR(J377&lt;&gt;"",K377&lt;&gt;"",L377&lt;&gt;"")),"Marked Stay but has a container/vehicle/destination. ","")&amp;IF(G377="Missing","Reported missing. ","")&amp;IF(AND(P377&lt;&gt;"",N(P377)&lt;0),"Service overdue. ","")))</f>
        <v/>
      </c>
      <c r="S377" s="17" t="str">
        <f aca="false">IF(A377="","",IF(CHOOSE(MATCH(Find!$C$4,Lists!$K$2:$K$7,0),F377,E377,J377,K377,L377,G377)=Find!$C$5,MAX(S$4:S376)+1,""))</f>
        <v/>
      </c>
      <c r="T377" s="17" t="str">
        <f aca="false">IF(A377="","",IF(OR(J377=Manifest!$C$4,K377=Manifest!$C$4),MAX(T$4:T376)+1,""))</f>
        <v/>
      </c>
    </row>
    <row r="378" customFormat="false" ht="15" hidden="false" customHeight="false" outlineLevel="0" collapsed="false">
      <c r="C378" s="14"/>
      <c r="E378" s="14"/>
      <c r="F378" s="14"/>
      <c r="G378" s="14"/>
      <c r="H378" s="14"/>
      <c r="M378" s="12"/>
      <c r="O378" s="15" t="str">
        <f aca="false">IF(OR(M378="",N378=""),"",M378+N378)</f>
        <v/>
      </c>
      <c r="P378" s="16" t="str">
        <f aca="true">IF(O378="","",O378-TODAY())</f>
        <v/>
      </c>
      <c r="Q378" s="17" t="str">
        <f aca="false">IF(A378="","",TRIM(IF(E378="","No owner. ","")&amp;IF(F378="","No storage location. ","")&amp;IF(D378="","Serial missing. ","")&amp;IF(OR(H378="",H378="Undecided"),"No disposition. ","")&amp;IF(AND(H378="Ship",J378="",K378=""),"Shipping but no container/vehicle. ","")&amp;IF(AND(J378&lt;&gt;"",K378&lt;&gt;""),"In both a container and a vehicle. ","")&amp;IF(AND(H378="Ship",L378=""),"No destination. ","")&amp;IF(AND(J378&lt;&gt;"",L378&lt;&gt;"",IFERROR(VLOOKUP(J378,Containers!$A$5:$F$60,6,FALSE()),L378)&lt;&gt;L378),"Destination differs from container. ","")&amp;IF(AND(K378&lt;&gt;"",L378&lt;&gt;"",IFERROR(VLOOKUP(K378,Vehicles!$A$5:$F$60,6,FALSE()),L378)&lt;&gt;L378),"Destination differs from vehicle. ","")&amp;IF(AND(H378="Stay",OR(J378&lt;&gt;"",K378&lt;&gt;"",L378&lt;&gt;"")),"Marked Stay but has a container/vehicle/destination. ","")&amp;IF(G378="Missing","Reported missing. ","")&amp;IF(AND(P378&lt;&gt;"",N(P378)&lt;0),"Service overdue. ","")))</f>
        <v/>
      </c>
      <c r="S378" s="17" t="str">
        <f aca="false">IF(A378="","",IF(CHOOSE(MATCH(Find!$C$4,Lists!$K$2:$K$7,0),F378,E378,J378,K378,L378,G378)=Find!$C$5,MAX(S$4:S377)+1,""))</f>
        <v/>
      </c>
      <c r="T378" s="17" t="str">
        <f aca="false">IF(A378="","",IF(OR(J378=Manifest!$C$4,K378=Manifest!$C$4),MAX(T$4:T377)+1,""))</f>
        <v/>
      </c>
    </row>
    <row r="379" customFormat="false" ht="15" hidden="false" customHeight="false" outlineLevel="0" collapsed="false">
      <c r="C379" s="14"/>
      <c r="E379" s="14"/>
      <c r="F379" s="14"/>
      <c r="G379" s="14"/>
      <c r="H379" s="14"/>
      <c r="M379" s="12"/>
      <c r="O379" s="15" t="str">
        <f aca="false">IF(OR(M379="",N379=""),"",M379+N379)</f>
        <v/>
      </c>
      <c r="P379" s="16" t="str">
        <f aca="true">IF(O379="","",O379-TODAY())</f>
        <v/>
      </c>
      <c r="Q379" s="17" t="str">
        <f aca="false">IF(A379="","",TRIM(IF(E379="","No owner. ","")&amp;IF(F379="","No storage location. ","")&amp;IF(D379="","Serial missing. ","")&amp;IF(OR(H379="",H379="Undecided"),"No disposition. ","")&amp;IF(AND(H379="Ship",J379="",K379=""),"Shipping but no container/vehicle. ","")&amp;IF(AND(J379&lt;&gt;"",K379&lt;&gt;""),"In both a container and a vehicle. ","")&amp;IF(AND(H379="Ship",L379=""),"No destination. ","")&amp;IF(AND(J379&lt;&gt;"",L379&lt;&gt;"",IFERROR(VLOOKUP(J379,Containers!$A$5:$F$60,6,FALSE()),L379)&lt;&gt;L379),"Destination differs from container. ","")&amp;IF(AND(K379&lt;&gt;"",L379&lt;&gt;"",IFERROR(VLOOKUP(K379,Vehicles!$A$5:$F$60,6,FALSE()),L379)&lt;&gt;L379),"Destination differs from vehicle. ","")&amp;IF(AND(H379="Stay",OR(J379&lt;&gt;"",K379&lt;&gt;"",L379&lt;&gt;"")),"Marked Stay but has a container/vehicle/destination. ","")&amp;IF(G379="Missing","Reported missing. ","")&amp;IF(AND(P379&lt;&gt;"",N(P379)&lt;0),"Service overdue. ","")))</f>
        <v/>
      </c>
      <c r="S379" s="17" t="str">
        <f aca="false">IF(A379="","",IF(CHOOSE(MATCH(Find!$C$4,Lists!$K$2:$K$7,0),F379,E379,J379,K379,L379,G379)=Find!$C$5,MAX(S$4:S378)+1,""))</f>
        <v/>
      </c>
      <c r="T379" s="17" t="str">
        <f aca="false">IF(A379="","",IF(OR(J379=Manifest!$C$4,K379=Manifest!$C$4),MAX(T$4:T378)+1,""))</f>
        <v/>
      </c>
    </row>
    <row r="380" customFormat="false" ht="15" hidden="false" customHeight="false" outlineLevel="0" collapsed="false">
      <c r="C380" s="14"/>
      <c r="E380" s="14"/>
      <c r="F380" s="14"/>
      <c r="G380" s="14"/>
      <c r="H380" s="14"/>
      <c r="M380" s="12"/>
      <c r="O380" s="15" t="str">
        <f aca="false">IF(OR(M380="",N380=""),"",M380+N380)</f>
        <v/>
      </c>
      <c r="P380" s="16" t="str">
        <f aca="true">IF(O380="","",O380-TODAY())</f>
        <v/>
      </c>
      <c r="Q380" s="17" t="str">
        <f aca="false">IF(A380="","",TRIM(IF(E380="","No owner. ","")&amp;IF(F380="","No storage location. ","")&amp;IF(D380="","Serial missing. ","")&amp;IF(OR(H380="",H380="Undecided"),"No disposition. ","")&amp;IF(AND(H380="Ship",J380="",K380=""),"Shipping but no container/vehicle. ","")&amp;IF(AND(J380&lt;&gt;"",K380&lt;&gt;""),"In both a container and a vehicle. ","")&amp;IF(AND(H380="Ship",L380=""),"No destination. ","")&amp;IF(AND(J380&lt;&gt;"",L380&lt;&gt;"",IFERROR(VLOOKUP(J380,Containers!$A$5:$F$60,6,FALSE()),L380)&lt;&gt;L380),"Destination differs from container. ","")&amp;IF(AND(K380&lt;&gt;"",L380&lt;&gt;"",IFERROR(VLOOKUP(K380,Vehicles!$A$5:$F$60,6,FALSE()),L380)&lt;&gt;L380),"Destination differs from vehicle. ","")&amp;IF(AND(H380="Stay",OR(J380&lt;&gt;"",K380&lt;&gt;"",L380&lt;&gt;"")),"Marked Stay but has a container/vehicle/destination. ","")&amp;IF(G380="Missing","Reported missing. ","")&amp;IF(AND(P380&lt;&gt;"",N(P380)&lt;0),"Service overdue. ","")))</f>
        <v/>
      </c>
      <c r="S380" s="17" t="str">
        <f aca="false">IF(A380="","",IF(CHOOSE(MATCH(Find!$C$4,Lists!$K$2:$K$7,0),F380,E380,J380,K380,L380,G380)=Find!$C$5,MAX(S$4:S379)+1,""))</f>
        <v/>
      </c>
      <c r="T380" s="17" t="str">
        <f aca="false">IF(A380="","",IF(OR(J380=Manifest!$C$4,K380=Manifest!$C$4),MAX(T$4:T379)+1,""))</f>
        <v/>
      </c>
    </row>
    <row r="381" customFormat="false" ht="15" hidden="false" customHeight="false" outlineLevel="0" collapsed="false">
      <c r="C381" s="14"/>
      <c r="E381" s="14"/>
      <c r="F381" s="14"/>
      <c r="G381" s="14"/>
      <c r="H381" s="14"/>
      <c r="M381" s="12"/>
      <c r="O381" s="15" t="str">
        <f aca="false">IF(OR(M381="",N381=""),"",M381+N381)</f>
        <v/>
      </c>
      <c r="P381" s="16" t="str">
        <f aca="true">IF(O381="","",O381-TODAY())</f>
        <v/>
      </c>
      <c r="Q381" s="17" t="str">
        <f aca="false">IF(A381="","",TRIM(IF(E381="","No owner. ","")&amp;IF(F381="","No storage location. ","")&amp;IF(D381="","Serial missing. ","")&amp;IF(OR(H381="",H381="Undecided"),"No disposition. ","")&amp;IF(AND(H381="Ship",J381="",K381=""),"Shipping but no container/vehicle. ","")&amp;IF(AND(J381&lt;&gt;"",K381&lt;&gt;""),"In both a container and a vehicle. ","")&amp;IF(AND(H381="Ship",L381=""),"No destination. ","")&amp;IF(AND(J381&lt;&gt;"",L381&lt;&gt;"",IFERROR(VLOOKUP(J381,Containers!$A$5:$F$60,6,FALSE()),L381)&lt;&gt;L381),"Destination differs from container. ","")&amp;IF(AND(K381&lt;&gt;"",L381&lt;&gt;"",IFERROR(VLOOKUP(K381,Vehicles!$A$5:$F$60,6,FALSE()),L381)&lt;&gt;L381),"Destination differs from vehicle. ","")&amp;IF(AND(H381="Stay",OR(J381&lt;&gt;"",K381&lt;&gt;"",L381&lt;&gt;"")),"Marked Stay but has a container/vehicle/destination. ","")&amp;IF(G381="Missing","Reported missing. ","")&amp;IF(AND(P381&lt;&gt;"",N(P381)&lt;0),"Service overdue. ","")))</f>
        <v/>
      </c>
      <c r="S381" s="17" t="str">
        <f aca="false">IF(A381="","",IF(CHOOSE(MATCH(Find!$C$4,Lists!$K$2:$K$7,0),F381,E381,J381,K381,L381,G381)=Find!$C$5,MAX(S$4:S380)+1,""))</f>
        <v/>
      </c>
      <c r="T381" s="17" t="str">
        <f aca="false">IF(A381="","",IF(OR(J381=Manifest!$C$4,K381=Manifest!$C$4),MAX(T$4:T380)+1,""))</f>
        <v/>
      </c>
    </row>
    <row r="382" customFormat="false" ht="15" hidden="false" customHeight="false" outlineLevel="0" collapsed="false">
      <c r="C382" s="14"/>
      <c r="E382" s="14"/>
      <c r="F382" s="14"/>
      <c r="G382" s="14"/>
      <c r="H382" s="14"/>
      <c r="M382" s="12"/>
      <c r="O382" s="15" t="str">
        <f aca="false">IF(OR(M382="",N382=""),"",M382+N382)</f>
        <v/>
      </c>
      <c r="P382" s="16" t="str">
        <f aca="true">IF(O382="","",O382-TODAY())</f>
        <v/>
      </c>
      <c r="Q382" s="17" t="str">
        <f aca="false">IF(A382="","",TRIM(IF(E382="","No owner. ","")&amp;IF(F382="","No storage location. ","")&amp;IF(D382="","Serial missing. ","")&amp;IF(OR(H382="",H382="Undecided"),"No disposition. ","")&amp;IF(AND(H382="Ship",J382="",K382=""),"Shipping but no container/vehicle. ","")&amp;IF(AND(J382&lt;&gt;"",K382&lt;&gt;""),"In both a container and a vehicle. ","")&amp;IF(AND(H382="Ship",L382=""),"No destination. ","")&amp;IF(AND(J382&lt;&gt;"",L382&lt;&gt;"",IFERROR(VLOOKUP(J382,Containers!$A$5:$F$60,6,FALSE()),L382)&lt;&gt;L382),"Destination differs from container. ","")&amp;IF(AND(K382&lt;&gt;"",L382&lt;&gt;"",IFERROR(VLOOKUP(K382,Vehicles!$A$5:$F$60,6,FALSE()),L382)&lt;&gt;L382),"Destination differs from vehicle. ","")&amp;IF(AND(H382="Stay",OR(J382&lt;&gt;"",K382&lt;&gt;"",L382&lt;&gt;"")),"Marked Stay but has a container/vehicle/destination. ","")&amp;IF(G382="Missing","Reported missing. ","")&amp;IF(AND(P382&lt;&gt;"",N(P382)&lt;0),"Service overdue. ","")))</f>
        <v/>
      </c>
      <c r="S382" s="17" t="str">
        <f aca="false">IF(A382="","",IF(CHOOSE(MATCH(Find!$C$4,Lists!$K$2:$K$7,0),F382,E382,J382,K382,L382,G382)=Find!$C$5,MAX(S$4:S381)+1,""))</f>
        <v/>
      </c>
      <c r="T382" s="17" t="str">
        <f aca="false">IF(A382="","",IF(OR(J382=Manifest!$C$4,K382=Manifest!$C$4),MAX(T$4:T381)+1,""))</f>
        <v/>
      </c>
    </row>
    <row r="383" customFormat="false" ht="15" hidden="false" customHeight="false" outlineLevel="0" collapsed="false">
      <c r="C383" s="14"/>
      <c r="E383" s="14"/>
      <c r="F383" s="14"/>
      <c r="G383" s="14"/>
      <c r="H383" s="14"/>
      <c r="M383" s="12"/>
      <c r="O383" s="15" t="str">
        <f aca="false">IF(OR(M383="",N383=""),"",M383+N383)</f>
        <v/>
      </c>
      <c r="P383" s="16" t="str">
        <f aca="true">IF(O383="","",O383-TODAY())</f>
        <v/>
      </c>
      <c r="Q383" s="17" t="str">
        <f aca="false">IF(A383="","",TRIM(IF(E383="","No owner. ","")&amp;IF(F383="","No storage location. ","")&amp;IF(D383="","Serial missing. ","")&amp;IF(OR(H383="",H383="Undecided"),"No disposition. ","")&amp;IF(AND(H383="Ship",J383="",K383=""),"Shipping but no container/vehicle. ","")&amp;IF(AND(J383&lt;&gt;"",K383&lt;&gt;""),"In both a container and a vehicle. ","")&amp;IF(AND(H383="Ship",L383=""),"No destination. ","")&amp;IF(AND(J383&lt;&gt;"",L383&lt;&gt;"",IFERROR(VLOOKUP(J383,Containers!$A$5:$F$60,6,FALSE()),L383)&lt;&gt;L383),"Destination differs from container. ","")&amp;IF(AND(K383&lt;&gt;"",L383&lt;&gt;"",IFERROR(VLOOKUP(K383,Vehicles!$A$5:$F$60,6,FALSE()),L383)&lt;&gt;L383),"Destination differs from vehicle. ","")&amp;IF(AND(H383="Stay",OR(J383&lt;&gt;"",K383&lt;&gt;"",L383&lt;&gt;"")),"Marked Stay but has a container/vehicle/destination. ","")&amp;IF(G383="Missing","Reported missing. ","")&amp;IF(AND(P383&lt;&gt;"",N(P383)&lt;0),"Service overdue. ","")))</f>
        <v/>
      </c>
      <c r="S383" s="17" t="str">
        <f aca="false">IF(A383="","",IF(CHOOSE(MATCH(Find!$C$4,Lists!$K$2:$K$7,0),F383,E383,J383,K383,L383,G383)=Find!$C$5,MAX(S$4:S382)+1,""))</f>
        <v/>
      </c>
      <c r="T383" s="17" t="str">
        <f aca="false">IF(A383="","",IF(OR(J383=Manifest!$C$4,K383=Manifest!$C$4),MAX(T$4:T382)+1,""))</f>
        <v/>
      </c>
    </row>
    <row r="384" customFormat="false" ht="15" hidden="false" customHeight="false" outlineLevel="0" collapsed="false">
      <c r="C384" s="14"/>
      <c r="E384" s="14"/>
      <c r="F384" s="14"/>
      <c r="G384" s="14"/>
      <c r="H384" s="14"/>
      <c r="M384" s="12"/>
      <c r="O384" s="15" t="str">
        <f aca="false">IF(OR(M384="",N384=""),"",M384+N384)</f>
        <v/>
      </c>
      <c r="P384" s="16" t="str">
        <f aca="true">IF(O384="","",O384-TODAY())</f>
        <v/>
      </c>
      <c r="Q384" s="17" t="str">
        <f aca="false">IF(A384="","",TRIM(IF(E384="","No owner. ","")&amp;IF(F384="","No storage location. ","")&amp;IF(D384="","Serial missing. ","")&amp;IF(OR(H384="",H384="Undecided"),"No disposition. ","")&amp;IF(AND(H384="Ship",J384="",K384=""),"Shipping but no container/vehicle. ","")&amp;IF(AND(J384&lt;&gt;"",K384&lt;&gt;""),"In both a container and a vehicle. ","")&amp;IF(AND(H384="Ship",L384=""),"No destination. ","")&amp;IF(AND(J384&lt;&gt;"",L384&lt;&gt;"",IFERROR(VLOOKUP(J384,Containers!$A$5:$F$60,6,FALSE()),L384)&lt;&gt;L384),"Destination differs from container. ","")&amp;IF(AND(K384&lt;&gt;"",L384&lt;&gt;"",IFERROR(VLOOKUP(K384,Vehicles!$A$5:$F$60,6,FALSE()),L384)&lt;&gt;L384),"Destination differs from vehicle. ","")&amp;IF(AND(H384="Stay",OR(J384&lt;&gt;"",K384&lt;&gt;"",L384&lt;&gt;"")),"Marked Stay but has a container/vehicle/destination. ","")&amp;IF(G384="Missing","Reported missing. ","")&amp;IF(AND(P384&lt;&gt;"",N(P384)&lt;0),"Service overdue. ","")))</f>
        <v/>
      </c>
      <c r="S384" s="17" t="str">
        <f aca="false">IF(A384="","",IF(CHOOSE(MATCH(Find!$C$4,Lists!$K$2:$K$7,0),F384,E384,J384,K384,L384,G384)=Find!$C$5,MAX(S$4:S383)+1,""))</f>
        <v/>
      </c>
      <c r="T384" s="17" t="str">
        <f aca="false">IF(A384="","",IF(OR(J384=Manifest!$C$4,K384=Manifest!$C$4),MAX(T$4:T383)+1,""))</f>
        <v/>
      </c>
    </row>
    <row r="385" customFormat="false" ht="15" hidden="false" customHeight="false" outlineLevel="0" collapsed="false">
      <c r="C385" s="14"/>
      <c r="E385" s="14"/>
      <c r="F385" s="14"/>
      <c r="G385" s="14"/>
      <c r="H385" s="14"/>
      <c r="M385" s="12"/>
      <c r="O385" s="15" t="str">
        <f aca="false">IF(OR(M385="",N385=""),"",M385+N385)</f>
        <v/>
      </c>
      <c r="P385" s="16" t="str">
        <f aca="true">IF(O385="","",O385-TODAY())</f>
        <v/>
      </c>
      <c r="Q385" s="17" t="str">
        <f aca="false">IF(A385="","",TRIM(IF(E385="","No owner. ","")&amp;IF(F385="","No storage location. ","")&amp;IF(D385="","Serial missing. ","")&amp;IF(OR(H385="",H385="Undecided"),"No disposition. ","")&amp;IF(AND(H385="Ship",J385="",K385=""),"Shipping but no container/vehicle. ","")&amp;IF(AND(J385&lt;&gt;"",K385&lt;&gt;""),"In both a container and a vehicle. ","")&amp;IF(AND(H385="Ship",L385=""),"No destination. ","")&amp;IF(AND(J385&lt;&gt;"",L385&lt;&gt;"",IFERROR(VLOOKUP(J385,Containers!$A$5:$F$60,6,FALSE()),L385)&lt;&gt;L385),"Destination differs from container. ","")&amp;IF(AND(K385&lt;&gt;"",L385&lt;&gt;"",IFERROR(VLOOKUP(K385,Vehicles!$A$5:$F$60,6,FALSE()),L385)&lt;&gt;L385),"Destination differs from vehicle. ","")&amp;IF(AND(H385="Stay",OR(J385&lt;&gt;"",K385&lt;&gt;"",L385&lt;&gt;"")),"Marked Stay but has a container/vehicle/destination. ","")&amp;IF(G385="Missing","Reported missing. ","")&amp;IF(AND(P385&lt;&gt;"",N(P385)&lt;0),"Service overdue. ","")))</f>
        <v/>
      </c>
      <c r="S385" s="17" t="str">
        <f aca="false">IF(A385="","",IF(CHOOSE(MATCH(Find!$C$4,Lists!$K$2:$K$7,0),F385,E385,J385,K385,L385,G385)=Find!$C$5,MAX(S$4:S384)+1,""))</f>
        <v/>
      </c>
      <c r="T385" s="17" t="str">
        <f aca="false">IF(A385="","",IF(OR(J385=Manifest!$C$4,K385=Manifest!$C$4),MAX(T$4:T384)+1,""))</f>
        <v/>
      </c>
    </row>
    <row r="386" customFormat="false" ht="15" hidden="false" customHeight="false" outlineLevel="0" collapsed="false">
      <c r="C386" s="14"/>
      <c r="E386" s="14"/>
      <c r="F386" s="14"/>
      <c r="G386" s="14"/>
      <c r="H386" s="14"/>
      <c r="M386" s="12"/>
      <c r="O386" s="15" t="str">
        <f aca="false">IF(OR(M386="",N386=""),"",M386+N386)</f>
        <v/>
      </c>
      <c r="P386" s="16" t="str">
        <f aca="true">IF(O386="","",O386-TODAY())</f>
        <v/>
      </c>
      <c r="Q386" s="17" t="str">
        <f aca="false">IF(A386="","",TRIM(IF(E386="","No owner. ","")&amp;IF(F386="","No storage location. ","")&amp;IF(D386="","Serial missing. ","")&amp;IF(OR(H386="",H386="Undecided"),"No disposition. ","")&amp;IF(AND(H386="Ship",J386="",K386=""),"Shipping but no container/vehicle. ","")&amp;IF(AND(J386&lt;&gt;"",K386&lt;&gt;""),"In both a container and a vehicle. ","")&amp;IF(AND(H386="Ship",L386=""),"No destination. ","")&amp;IF(AND(J386&lt;&gt;"",L386&lt;&gt;"",IFERROR(VLOOKUP(J386,Containers!$A$5:$F$60,6,FALSE()),L386)&lt;&gt;L386),"Destination differs from container. ","")&amp;IF(AND(K386&lt;&gt;"",L386&lt;&gt;"",IFERROR(VLOOKUP(K386,Vehicles!$A$5:$F$60,6,FALSE()),L386)&lt;&gt;L386),"Destination differs from vehicle. ","")&amp;IF(AND(H386="Stay",OR(J386&lt;&gt;"",K386&lt;&gt;"",L386&lt;&gt;"")),"Marked Stay but has a container/vehicle/destination. ","")&amp;IF(G386="Missing","Reported missing. ","")&amp;IF(AND(P386&lt;&gt;"",N(P386)&lt;0),"Service overdue. ","")))</f>
        <v/>
      </c>
      <c r="S386" s="17" t="str">
        <f aca="false">IF(A386="","",IF(CHOOSE(MATCH(Find!$C$4,Lists!$K$2:$K$7,0),F386,E386,J386,K386,L386,G386)=Find!$C$5,MAX(S$4:S385)+1,""))</f>
        <v/>
      </c>
      <c r="T386" s="17" t="str">
        <f aca="false">IF(A386="","",IF(OR(J386=Manifest!$C$4,K386=Manifest!$C$4),MAX(T$4:T385)+1,""))</f>
        <v/>
      </c>
    </row>
    <row r="387" customFormat="false" ht="15" hidden="false" customHeight="false" outlineLevel="0" collapsed="false">
      <c r="C387" s="14"/>
      <c r="E387" s="14"/>
      <c r="F387" s="14"/>
      <c r="G387" s="14"/>
      <c r="H387" s="14"/>
      <c r="M387" s="12"/>
      <c r="O387" s="15" t="str">
        <f aca="false">IF(OR(M387="",N387=""),"",M387+N387)</f>
        <v/>
      </c>
      <c r="P387" s="16" t="str">
        <f aca="true">IF(O387="","",O387-TODAY())</f>
        <v/>
      </c>
      <c r="Q387" s="17" t="str">
        <f aca="false">IF(A387="","",TRIM(IF(E387="","No owner. ","")&amp;IF(F387="","No storage location. ","")&amp;IF(D387="","Serial missing. ","")&amp;IF(OR(H387="",H387="Undecided"),"No disposition. ","")&amp;IF(AND(H387="Ship",J387="",K387=""),"Shipping but no container/vehicle. ","")&amp;IF(AND(J387&lt;&gt;"",K387&lt;&gt;""),"In both a container and a vehicle. ","")&amp;IF(AND(H387="Ship",L387=""),"No destination. ","")&amp;IF(AND(J387&lt;&gt;"",L387&lt;&gt;"",IFERROR(VLOOKUP(J387,Containers!$A$5:$F$60,6,FALSE()),L387)&lt;&gt;L387),"Destination differs from container. ","")&amp;IF(AND(K387&lt;&gt;"",L387&lt;&gt;"",IFERROR(VLOOKUP(K387,Vehicles!$A$5:$F$60,6,FALSE()),L387)&lt;&gt;L387),"Destination differs from vehicle. ","")&amp;IF(AND(H387="Stay",OR(J387&lt;&gt;"",K387&lt;&gt;"",L387&lt;&gt;"")),"Marked Stay but has a container/vehicle/destination. ","")&amp;IF(G387="Missing","Reported missing. ","")&amp;IF(AND(P387&lt;&gt;"",N(P387)&lt;0),"Service overdue. ","")))</f>
        <v/>
      </c>
      <c r="S387" s="17" t="str">
        <f aca="false">IF(A387="","",IF(CHOOSE(MATCH(Find!$C$4,Lists!$K$2:$K$7,0),F387,E387,J387,K387,L387,G387)=Find!$C$5,MAX(S$4:S386)+1,""))</f>
        <v/>
      </c>
      <c r="T387" s="17" t="str">
        <f aca="false">IF(A387="","",IF(OR(J387=Manifest!$C$4,K387=Manifest!$C$4),MAX(T$4:T386)+1,""))</f>
        <v/>
      </c>
    </row>
    <row r="388" customFormat="false" ht="15" hidden="false" customHeight="false" outlineLevel="0" collapsed="false">
      <c r="C388" s="14"/>
      <c r="E388" s="14"/>
      <c r="F388" s="14"/>
      <c r="G388" s="14"/>
      <c r="H388" s="14"/>
      <c r="M388" s="12"/>
      <c r="O388" s="15" t="str">
        <f aca="false">IF(OR(M388="",N388=""),"",M388+N388)</f>
        <v/>
      </c>
      <c r="P388" s="16" t="str">
        <f aca="true">IF(O388="","",O388-TODAY())</f>
        <v/>
      </c>
      <c r="Q388" s="17" t="str">
        <f aca="false">IF(A388="","",TRIM(IF(E388="","No owner. ","")&amp;IF(F388="","No storage location. ","")&amp;IF(D388="","Serial missing. ","")&amp;IF(OR(H388="",H388="Undecided"),"No disposition. ","")&amp;IF(AND(H388="Ship",J388="",K388=""),"Shipping but no container/vehicle. ","")&amp;IF(AND(J388&lt;&gt;"",K388&lt;&gt;""),"In both a container and a vehicle. ","")&amp;IF(AND(H388="Ship",L388=""),"No destination. ","")&amp;IF(AND(J388&lt;&gt;"",L388&lt;&gt;"",IFERROR(VLOOKUP(J388,Containers!$A$5:$F$60,6,FALSE()),L388)&lt;&gt;L388),"Destination differs from container. ","")&amp;IF(AND(K388&lt;&gt;"",L388&lt;&gt;"",IFERROR(VLOOKUP(K388,Vehicles!$A$5:$F$60,6,FALSE()),L388)&lt;&gt;L388),"Destination differs from vehicle. ","")&amp;IF(AND(H388="Stay",OR(J388&lt;&gt;"",K388&lt;&gt;"",L388&lt;&gt;"")),"Marked Stay but has a container/vehicle/destination. ","")&amp;IF(G388="Missing","Reported missing. ","")&amp;IF(AND(P388&lt;&gt;"",N(P388)&lt;0),"Service overdue. ","")))</f>
        <v/>
      </c>
      <c r="S388" s="17" t="str">
        <f aca="false">IF(A388="","",IF(CHOOSE(MATCH(Find!$C$4,Lists!$K$2:$K$7,0),F388,E388,J388,K388,L388,G388)=Find!$C$5,MAX(S$4:S387)+1,""))</f>
        <v/>
      </c>
      <c r="T388" s="17" t="str">
        <f aca="false">IF(A388="","",IF(OR(J388=Manifest!$C$4,K388=Manifest!$C$4),MAX(T$4:T387)+1,""))</f>
        <v/>
      </c>
    </row>
    <row r="389" customFormat="false" ht="15" hidden="false" customHeight="false" outlineLevel="0" collapsed="false">
      <c r="C389" s="14"/>
      <c r="E389" s="14"/>
      <c r="F389" s="14"/>
      <c r="G389" s="14"/>
      <c r="H389" s="14"/>
      <c r="M389" s="12"/>
      <c r="O389" s="15" t="str">
        <f aca="false">IF(OR(M389="",N389=""),"",M389+N389)</f>
        <v/>
      </c>
      <c r="P389" s="16" t="str">
        <f aca="true">IF(O389="","",O389-TODAY())</f>
        <v/>
      </c>
      <c r="Q389" s="17" t="str">
        <f aca="false">IF(A389="","",TRIM(IF(E389="","No owner. ","")&amp;IF(F389="","No storage location. ","")&amp;IF(D389="","Serial missing. ","")&amp;IF(OR(H389="",H389="Undecided"),"No disposition. ","")&amp;IF(AND(H389="Ship",J389="",K389=""),"Shipping but no container/vehicle. ","")&amp;IF(AND(J389&lt;&gt;"",K389&lt;&gt;""),"In both a container and a vehicle. ","")&amp;IF(AND(H389="Ship",L389=""),"No destination. ","")&amp;IF(AND(J389&lt;&gt;"",L389&lt;&gt;"",IFERROR(VLOOKUP(J389,Containers!$A$5:$F$60,6,FALSE()),L389)&lt;&gt;L389),"Destination differs from container. ","")&amp;IF(AND(K389&lt;&gt;"",L389&lt;&gt;"",IFERROR(VLOOKUP(K389,Vehicles!$A$5:$F$60,6,FALSE()),L389)&lt;&gt;L389),"Destination differs from vehicle. ","")&amp;IF(AND(H389="Stay",OR(J389&lt;&gt;"",K389&lt;&gt;"",L389&lt;&gt;"")),"Marked Stay but has a container/vehicle/destination. ","")&amp;IF(G389="Missing","Reported missing. ","")&amp;IF(AND(P389&lt;&gt;"",N(P389)&lt;0),"Service overdue. ","")))</f>
        <v/>
      </c>
      <c r="S389" s="17" t="str">
        <f aca="false">IF(A389="","",IF(CHOOSE(MATCH(Find!$C$4,Lists!$K$2:$K$7,0),F389,E389,J389,K389,L389,G389)=Find!$C$5,MAX(S$4:S388)+1,""))</f>
        <v/>
      </c>
      <c r="T389" s="17" t="str">
        <f aca="false">IF(A389="","",IF(OR(J389=Manifest!$C$4,K389=Manifest!$C$4),MAX(T$4:T388)+1,""))</f>
        <v/>
      </c>
    </row>
    <row r="390" customFormat="false" ht="15" hidden="false" customHeight="false" outlineLevel="0" collapsed="false">
      <c r="C390" s="14"/>
      <c r="E390" s="14"/>
      <c r="F390" s="14"/>
      <c r="G390" s="14"/>
      <c r="H390" s="14"/>
      <c r="M390" s="12"/>
      <c r="O390" s="15" t="str">
        <f aca="false">IF(OR(M390="",N390=""),"",M390+N390)</f>
        <v/>
      </c>
      <c r="P390" s="16" t="str">
        <f aca="true">IF(O390="","",O390-TODAY())</f>
        <v/>
      </c>
      <c r="Q390" s="17" t="str">
        <f aca="false">IF(A390="","",TRIM(IF(E390="","No owner. ","")&amp;IF(F390="","No storage location. ","")&amp;IF(D390="","Serial missing. ","")&amp;IF(OR(H390="",H390="Undecided"),"No disposition. ","")&amp;IF(AND(H390="Ship",J390="",K390=""),"Shipping but no container/vehicle. ","")&amp;IF(AND(J390&lt;&gt;"",K390&lt;&gt;""),"In both a container and a vehicle. ","")&amp;IF(AND(H390="Ship",L390=""),"No destination. ","")&amp;IF(AND(J390&lt;&gt;"",L390&lt;&gt;"",IFERROR(VLOOKUP(J390,Containers!$A$5:$F$60,6,FALSE()),L390)&lt;&gt;L390),"Destination differs from container. ","")&amp;IF(AND(K390&lt;&gt;"",L390&lt;&gt;"",IFERROR(VLOOKUP(K390,Vehicles!$A$5:$F$60,6,FALSE()),L390)&lt;&gt;L390),"Destination differs from vehicle. ","")&amp;IF(AND(H390="Stay",OR(J390&lt;&gt;"",K390&lt;&gt;"",L390&lt;&gt;"")),"Marked Stay but has a container/vehicle/destination. ","")&amp;IF(G390="Missing","Reported missing. ","")&amp;IF(AND(P390&lt;&gt;"",N(P390)&lt;0),"Service overdue. ","")))</f>
        <v/>
      </c>
      <c r="S390" s="17" t="str">
        <f aca="false">IF(A390="","",IF(CHOOSE(MATCH(Find!$C$4,Lists!$K$2:$K$7,0),F390,E390,J390,K390,L390,G390)=Find!$C$5,MAX(S$4:S389)+1,""))</f>
        <v/>
      </c>
      <c r="T390" s="17" t="str">
        <f aca="false">IF(A390="","",IF(OR(J390=Manifest!$C$4,K390=Manifest!$C$4),MAX(T$4:T389)+1,""))</f>
        <v/>
      </c>
    </row>
    <row r="391" customFormat="false" ht="15" hidden="false" customHeight="false" outlineLevel="0" collapsed="false">
      <c r="C391" s="14"/>
      <c r="E391" s="14"/>
      <c r="F391" s="14"/>
      <c r="G391" s="14"/>
      <c r="H391" s="14"/>
      <c r="M391" s="12"/>
      <c r="O391" s="15" t="str">
        <f aca="false">IF(OR(M391="",N391=""),"",M391+N391)</f>
        <v/>
      </c>
      <c r="P391" s="16" t="str">
        <f aca="true">IF(O391="","",O391-TODAY())</f>
        <v/>
      </c>
      <c r="Q391" s="17" t="str">
        <f aca="false">IF(A391="","",TRIM(IF(E391="","No owner. ","")&amp;IF(F391="","No storage location. ","")&amp;IF(D391="","Serial missing. ","")&amp;IF(OR(H391="",H391="Undecided"),"No disposition. ","")&amp;IF(AND(H391="Ship",J391="",K391=""),"Shipping but no container/vehicle. ","")&amp;IF(AND(J391&lt;&gt;"",K391&lt;&gt;""),"In both a container and a vehicle. ","")&amp;IF(AND(H391="Ship",L391=""),"No destination. ","")&amp;IF(AND(J391&lt;&gt;"",L391&lt;&gt;"",IFERROR(VLOOKUP(J391,Containers!$A$5:$F$60,6,FALSE()),L391)&lt;&gt;L391),"Destination differs from container. ","")&amp;IF(AND(K391&lt;&gt;"",L391&lt;&gt;"",IFERROR(VLOOKUP(K391,Vehicles!$A$5:$F$60,6,FALSE()),L391)&lt;&gt;L391),"Destination differs from vehicle. ","")&amp;IF(AND(H391="Stay",OR(J391&lt;&gt;"",K391&lt;&gt;"",L391&lt;&gt;"")),"Marked Stay but has a container/vehicle/destination. ","")&amp;IF(G391="Missing","Reported missing. ","")&amp;IF(AND(P391&lt;&gt;"",N(P391)&lt;0),"Service overdue. ","")))</f>
        <v/>
      </c>
      <c r="S391" s="17" t="str">
        <f aca="false">IF(A391="","",IF(CHOOSE(MATCH(Find!$C$4,Lists!$K$2:$K$7,0),F391,E391,J391,K391,L391,G391)=Find!$C$5,MAX(S$4:S390)+1,""))</f>
        <v/>
      </c>
      <c r="T391" s="17" t="str">
        <f aca="false">IF(A391="","",IF(OR(J391=Manifest!$C$4,K391=Manifest!$C$4),MAX(T$4:T390)+1,""))</f>
        <v/>
      </c>
    </row>
    <row r="392" customFormat="false" ht="15" hidden="false" customHeight="false" outlineLevel="0" collapsed="false">
      <c r="C392" s="14"/>
      <c r="E392" s="14"/>
      <c r="F392" s="14"/>
      <c r="G392" s="14"/>
      <c r="H392" s="14"/>
      <c r="M392" s="12"/>
      <c r="O392" s="15" t="str">
        <f aca="false">IF(OR(M392="",N392=""),"",M392+N392)</f>
        <v/>
      </c>
      <c r="P392" s="16" t="str">
        <f aca="true">IF(O392="","",O392-TODAY())</f>
        <v/>
      </c>
      <c r="Q392" s="17" t="str">
        <f aca="false">IF(A392="","",TRIM(IF(E392="","No owner. ","")&amp;IF(F392="","No storage location. ","")&amp;IF(D392="","Serial missing. ","")&amp;IF(OR(H392="",H392="Undecided"),"No disposition. ","")&amp;IF(AND(H392="Ship",J392="",K392=""),"Shipping but no container/vehicle. ","")&amp;IF(AND(J392&lt;&gt;"",K392&lt;&gt;""),"In both a container and a vehicle. ","")&amp;IF(AND(H392="Ship",L392=""),"No destination. ","")&amp;IF(AND(J392&lt;&gt;"",L392&lt;&gt;"",IFERROR(VLOOKUP(J392,Containers!$A$5:$F$60,6,FALSE()),L392)&lt;&gt;L392),"Destination differs from container. ","")&amp;IF(AND(K392&lt;&gt;"",L392&lt;&gt;"",IFERROR(VLOOKUP(K392,Vehicles!$A$5:$F$60,6,FALSE()),L392)&lt;&gt;L392),"Destination differs from vehicle. ","")&amp;IF(AND(H392="Stay",OR(J392&lt;&gt;"",K392&lt;&gt;"",L392&lt;&gt;"")),"Marked Stay but has a container/vehicle/destination. ","")&amp;IF(G392="Missing","Reported missing. ","")&amp;IF(AND(P392&lt;&gt;"",N(P392)&lt;0),"Service overdue. ","")))</f>
        <v/>
      </c>
      <c r="S392" s="17" t="str">
        <f aca="false">IF(A392="","",IF(CHOOSE(MATCH(Find!$C$4,Lists!$K$2:$K$7,0),F392,E392,J392,K392,L392,G392)=Find!$C$5,MAX(S$4:S391)+1,""))</f>
        <v/>
      </c>
      <c r="T392" s="17" t="str">
        <f aca="false">IF(A392="","",IF(OR(J392=Manifest!$C$4,K392=Manifest!$C$4),MAX(T$4:T391)+1,""))</f>
        <v/>
      </c>
    </row>
    <row r="393" customFormat="false" ht="15" hidden="false" customHeight="false" outlineLevel="0" collapsed="false">
      <c r="C393" s="14"/>
      <c r="E393" s="14"/>
      <c r="F393" s="14"/>
      <c r="G393" s="14"/>
      <c r="H393" s="14"/>
      <c r="M393" s="12"/>
      <c r="O393" s="15" t="str">
        <f aca="false">IF(OR(M393="",N393=""),"",M393+N393)</f>
        <v/>
      </c>
      <c r="P393" s="16" t="str">
        <f aca="true">IF(O393="","",O393-TODAY())</f>
        <v/>
      </c>
      <c r="Q393" s="17" t="str">
        <f aca="false">IF(A393="","",TRIM(IF(E393="","No owner. ","")&amp;IF(F393="","No storage location. ","")&amp;IF(D393="","Serial missing. ","")&amp;IF(OR(H393="",H393="Undecided"),"No disposition. ","")&amp;IF(AND(H393="Ship",J393="",K393=""),"Shipping but no container/vehicle. ","")&amp;IF(AND(J393&lt;&gt;"",K393&lt;&gt;""),"In both a container and a vehicle. ","")&amp;IF(AND(H393="Ship",L393=""),"No destination. ","")&amp;IF(AND(J393&lt;&gt;"",L393&lt;&gt;"",IFERROR(VLOOKUP(J393,Containers!$A$5:$F$60,6,FALSE()),L393)&lt;&gt;L393),"Destination differs from container. ","")&amp;IF(AND(K393&lt;&gt;"",L393&lt;&gt;"",IFERROR(VLOOKUP(K393,Vehicles!$A$5:$F$60,6,FALSE()),L393)&lt;&gt;L393),"Destination differs from vehicle. ","")&amp;IF(AND(H393="Stay",OR(J393&lt;&gt;"",K393&lt;&gt;"",L393&lt;&gt;"")),"Marked Stay but has a container/vehicle/destination. ","")&amp;IF(G393="Missing","Reported missing. ","")&amp;IF(AND(P393&lt;&gt;"",N(P393)&lt;0),"Service overdue. ","")))</f>
        <v/>
      </c>
      <c r="S393" s="17" t="str">
        <f aca="false">IF(A393="","",IF(CHOOSE(MATCH(Find!$C$4,Lists!$K$2:$K$7,0),F393,E393,J393,K393,L393,G393)=Find!$C$5,MAX(S$4:S392)+1,""))</f>
        <v/>
      </c>
      <c r="T393" s="17" t="str">
        <f aca="false">IF(A393="","",IF(OR(J393=Manifest!$C$4,K393=Manifest!$C$4),MAX(T$4:T392)+1,""))</f>
        <v/>
      </c>
    </row>
    <row r="394" customFormat="false" ht="15" hidden="false" customHeight="false" outlineLevel="0" collapsed="false">
      <c r="C394" s="14"/>
      <c r="E394" s="14"/>
      <c r="F394" s="14"/>
      <c r="G394" s="14"/>
      <c r="H394" s="14"/>
      <c r="M394" s="12"/>
      <c r="O394" s="15" t="str">
        <f aca="false">IF(OR(M394="",N394=""),"",M394+N394)</f>
        <v/>
      </c>
      <c r="P394" s="16" t="str">
        <f aca="true">IF(O394="","",O394-TODAY())</f>
        <v/>
      </c>
      <c r="Q394" s="17" t="str">
        <f aca="false">IF(A394="","",TRIM(IF(E394="","No owner. ","")&amp;IF(F394="","No storage location. ","")&amp;IF(D394="","Serial missing. ","")&amp;IF(OR(H394="",H394="Undecided"),"No disposition. ","")&amp;IF(AND(H394="Ship",J394="",K394=""),"Shipping but no container/vehicle. ","")&amp;IF(AND(J394&lt;&gt;"",K394&lt;&gt;""),"In both a container and a vehicle. ","")&amp;IF(AND(H394="Ship",L394=""),"No destination. ","")&amp;IF(AND(J394&lt;&gt;"",L394&lt;&gt;"",IFERROR(VLOOKUP(J394,Containers!$A$5:$F$60,6,FALSE()),L394)&lt;&gt;L394),"Destination differs from container. ","")&amp;IF(AND(K394&lt;&gt;"",L394&lt;&gt;"",IFERROR(VLOOKUP(K394,Vehicles!$A$5:$F$60,6,FALSE()),L394)&lt;&gt;L394),"Destination differs from vehicle. ","")&amp;IF(AND(H394="Stay",OR(J394&lt;&gt;"",K394&lt;&gt;"",L394&lt;&gt;"")),"Marked Stay but has a container/vehicle/destination. ","")&amp;IF(G394="Missing","Reported missing. ","")&amp;IF(AND(P394&lt;&gt;"",N(P394)&lt;0),"Service overdue. ","")))</f>
        <v/>
      </c>
      <c r="S394" s="17" t="str">
        <f aca="false">IF(A394="","",IF(CHOOSE(MATCH(Find!$C$4,Lists!$K$2:$K$7,0),F394,E394,J394,K394,L394,G394)=Find!$C$5,MAX(S$4:S393)+1,""))</f>
        <v/>
      </c>
      <c r="T394" s="17" t="str">
        <f aca="false">IF(A394="","",IF(OR(J394=Manifest!$C$4,K394=Manifest!$C$4),MAX(T$4:T393)+1,""))</f>
        <v/>
      </c>
    </row>
    <row r="395" customFormat="false" ht="15" hidden="false" customHeight="false" outlineLevel="0" collapsed="false">
      <c r="C395" s="14"/>
      <c r="E395" s="14"/>
      <c r="F395" s="14"/>
      <c r="G395" s="14"/>
      <c r="H395" s="14"/>
      <c r="M395" s="12"/>
      <c r="O395" s="15" t="str">
        <f aca="false">IF(OR(M395="",N395=""),"",M395+N395)</f>
        <v/>
      </c>
      <c r="P395" s="16" t="str">
        <f aca="true">IF(O395="","",O395-TODAY())</f>
        <v/>
      </c>
      <c r="Q395" s="17" t="str">
        <f aca="false">IF(A395="","",TRIM(IF(E395="","No owner. ","")&amp;IF(F395="","No storage location. ","")&amp;IF(D395="","Serial missing. ","")&amp;IF(OR(H395="",H395="Undecided"),"No disposition. ","")&amp;IF(AND(H395="Ship",J395="",K395=""),"Shipping but no container/vehicle. ","")&amp;IF(AND(J395&lt;&gt;"",K395&lt;&gt;""),"In both a container and a vehicle. ","")&amp;IF(AND(H395="Ship",L395=""),"No destination. ","")&amp;IF(AND(J395&lt;&gt;"",L395&lt;&gt;"",IFERROR(VLOOKUP(J395,Containers!$A$5:$F$60,6,FALSE()),L395)&lt;&gt;L395),"Destination differs from container. ","")&amp;IF(AND(K395&lt;&gt;"",L395&lt;&gt;"",IFERROR(VLOOKUP(K395,Vehicles!$A$5:$F$60,6,FALSE()),L395)&lt;&gt;L395),"Destination differs from vehicle. ","")&amp;IF(AND(H395="Stay",OR(J395&lt;&gt;"",K395&lt;&gt;"",L395&lt;&gt;"")),"Marked Stay but has a container/vehicle/destination. ","")&amp;IF(G395="Missing","Reported missing. ","")&amp;IF(AND(P395&lt;&gt;"",N(P395)&lt;0),"Service overdue. ","")))</f>
        <v/>
      </c>
      <c r="S395" s="17" t="str">
        <f aca="false">IF(A395="","",IF(CHOOSE(MATCH(Find!$C$4,Lists!$K$2:$K$7,0),F395,E395,J395,K395,L395,G395)=Find!$C$5,MAX(S$4:S394)+1,""))</f>
        <v/>
      </c>
      <c r="T395" s="17" t="str">
        <f aca="false">IF(A395="","",IF(OR(J395=Manifest!$C$4,K395=Manifest!$C$4),MAX(T$4:T394)+1,""))</f>
        <v/>
      </c>
    </row>
    <row r="396" customFormat="false" ht="15" hidden="false" customHeight="false" outlineLevel="0" collapsed="false">
      <c r="C396" s="14"/>
      <c r="E396" s="14"/>
      <c r="F396" s="14"/>
      <c r="G396" s="14"/>
      <c r="H396" s="14"/>
      <c r="M396" s="12"/>
      <c r="O396" s="15" t="str">
        <f aca="false">IF(OR(M396="",N396=""),"",M396+N396)</f>
        <v/>
      </c>
      <c r="P396" s="16" t="str">
        <f aca="true">IF(O396="","",O396-TODAY())</f>
        <v/>
      </c>
      <c r="Q396" s="17" t="str">
        <f aca="false">IF(A396="","",TRIM(IF(E396="","No owner. ","")&amp;IF(F396="","No storage location. ","")&amp;IF(D396="","Serial missing. ","")&amp;IF(OR(H396="",H396="Undecided"),"No disposition. ","")&amp;IF(AND(H396="Ship",J396="",K396=""),"Shipping but no container/vehicle. ","")&amp;IF(AND(J396&lt;&gt;"",K396&lt;&gt;""),"In both a container and a vehicle. ","")&amp;IF(AND(H396="Ship",L396=""),"No destination. ","")&amp;IF(AND(J396&lt;&gt;"",L396&lt;&gt;"",IFERROR(VLOOKUP(J396,Containers!$A$5:$F$60,6,FALSE()),L396)&lt;&gt;L396),"Destination differs from container. ","")&amp;IF(AND(K396&lt;&gt;"",L396&lt;&gt;"",IFERROR(VLOOKUP(K396,Vehicles!$A$5:$F$60,6,FALSE()),L396)&lt;&gt;L396),"Destination differs from vehicle. ","")&amp;IF(AND(H396="Stay",OR(J396&lt;&gt;"",K396&lt;&gt;"",L396&lt;&gt;"")),"Marked Stay but has a container/vehicle/destination. ","")&amp;IF(G396="Missing","Reported missing. ","")&amp;IF(AND(P396&lt;&gt;"",N(P396)&lt;0),"Service overdue. ","")))</f>
        <v/>
      </c>
      <c r="S396" s="17" t="str">
        <f aca="false">IF(A396="","",IF(CHOOSE(MATCH(Find!$C$4,Lists!$K$2:$K$7,0),F396,E396,J396,K396,L396,G396)=Find!$C$5,MAX(S$4:S395)+1,""))</f>
        <v/>
      </c>
      <c r="T396" s="17" t="str">
        <f aca="false">IF(A396="","",IF(OR(J396=Manifest!$C$4,K396=Manifest!$C$4),MAX(T$4:T395)+1,""))</f>
        <v/>
      </c>
    </row>
    <row r="397" customFormat="false" ht="15" hidden="false" customHeight="false" outlineLevel="0" collapsed="false">
      <c r="C397" s="14"/>
      <c r="E397" s="14"/>
      <c r="F397" s="14"/>
      <c r="G397" s="14"/>
      <c r="H397" s="14"/>
      <c r="M397" s="12"/>
      <c r="O397" s="15" t="str">
        <f aca="false">IF(OR(M397="",N397=""),"",M397+N397)</f>
        <v/>
      </c>
      <c r="P397" s="16" t="str">
        <f aca="true">IF(O397="","",O397-TODAY())</f>
        <v/>
      </c>
      <c r="Q397" s="17" t="str">
        <f aca="false">IF(A397="","",TRIM(IF(E397="","No owner. ","")&amp;IF(F397="","No storage location. ","")&amp;IF(D397="","Serial missing. ","")&amp;IF(OR(H397="",H397="Undecided"),"No disposition. ","")&amp;IF(AND(H397="Ship",J397="",K397=""),"Shipping but no container/vehicle. ","")&amp;IF(AND(J397&lt;&gt;"",K397&lt;&gt;""),"In both a container and a vehicle. ","")&amp;IF(AND(H397="Ship",L397=""),"No destination. ","")&amp;IF(AND(J397&lt;&gt;"",L397&lt;&gt;"",IFERROR(VLOOKUP(J397,Containers!$A$5:$F$60,6,FALSE()),L397)&lt;&gt;L397),"Destination differs from container. ","")&amp;IF(AND(K397&lt;&gt;"",L397&lt;&gt;"",IFERROR(VLOOKUP(K397,Vehicles!$A$5:$F$60,6,FALSE()),L397)&lt;&gt;L397),"Destination differs from vehicle. ","")&amp;IF(AND(H397="Stay",OR(J397&lt;&gt;"",K397&lt;&gt;"",L397&lt;&gt;"")),"Marked Stay but has a container/vehicle/destination. ","")&amp;IF(G397="Missing","Reported missing. ","")&amp;IF(AND(P397&lt;&gt;"",N(P397)&lt;0),"Service overdue. ","")))</f>
        <v/>
      </c>
      <c r="S397" s="17" t="str">
        <f aca="false">IF(A397="","",IF(CHOOSE(MATCH(Find!$C$4,Lists!$K$2:$K$7,0),F397,E397,J397,K397,L397,G397)=Find!$C$5,MAX(S$4:S396)+1,""))</f>
        <v/>
      </c>
      <c r="T397" s="17" t="str">
        <f aca="false">IF(A397="","",IF(OR(J397=Manifest!$C$4,K397=Manifest!$C$4),MAX(T$4:T396)+1,""))</f>
        <v/>
      </c>
    </row>
    <row r="398" customFormat="false" ht="15" hidden="false" customHeight="false" outlineLevel="0" collapsed="false">
      <c r="C398" s="14"/>
      <c r="E398" s="14"/>
      <c r="F398" s="14"/>
      <c r="G398" s="14"/>
      <c r="H398" s="14"/>
      <c r="M398" s="12"/>
      <c r="O398" s="15" t="str">
        <f aca="false">IF(OR(M398="",N398=""),"",M398+N398)</f>
        <v/>
      </c>
      <c r="P398" s="16" t="str">
        <f aca="true">IF(O398="","",O398-TODAY())</f>
        <v/>
      </c>
      <c r="Q398" s="17" t="str">
        <f aca="false">IF(A398="","",TRIM(IF(E398="","No owner. ","")&amp;IF(F398="","No storage location. ","")&amp;IF(D398="","Serial missing. ","")&amp;IF(OR(H398="",H398="Undecided"),"No disposition. ","")&amp;IF(AND(H398="Ship",J398="",K398=""),"Shipping but no container/vehicle. ","")&amp;IF(AND(J398&lt;&gt;"",K398&lt;&gt;""),"In both a container and a vehicle. ","")&amp;IF(AND(H398="Ship",L398=""),"No destination. ","")&amp;IF(AND(J398&lt;&gt;"",L398&lt;&gt;"",IFERROR(VLOOKUP(J398,Containers!$A$5:$F$60,6,FALSE()),L398)&lt;&gt;L398),"Destination differs from container. ","")&amp;IF(AND(K398&lt;&gt;"",L398&lt;&gt;"",IFERROR(VLOOKUP(K398,Vehicles!$A$5:$F$60,6,FALSE()),L398)&lt;&gt;L398),"Destination differs from vehicle. ","")&amp;IF(AND(H398="Stay",OR(J398&lt;&gt;"",K398&lt;&gt;"",L398&lt;&gt;"")),"Marked Stay but has a container/vehicle/destination. ","")&amp;IF(G398="Missing","Reported missing. ","")&amp;IF(AND(P398&lt;&gt;"",N(P398)&lt;0),"Service overdue. ","")))</f>
        <v/>
      </c>
      <c r="S398" s="17" t="str">
        <f aca="false">IF(A398="","",IF(CHOOSE(MATCH(Find!$C$4,Lists!$K$2:$K$7,0),F398,E398,J398,K398,L398,G398)=Find!$C$5,MAX(S$4:S397)+1,""))</f>
        <v/>
      </c>
      <c r="T398" s="17" t="str">
        <f aca="false">IF(A398="","",IF(OR(J398=Manifest!$C$4,K398=Manifest!$C$4),MAX(T$4:T397)+1,""))</f>
        <v/>
      </c>
    </row>
    <row r="399" customFormat="false" ht="15" hidden="false" customHeight="false" outlineLevel="0" collapsed="false">
      <c r="C399" s="14"/>
      <c r="E399" s="14"/>
      <c r="F399" s="14"/>
      <c r="G399" s="14"/>
      <c r="H399" s="14"/>
      <c r="M399" s="12"/>
      <c r="O399" s="15" t="str">
        <f aca="false">IF(OR(M399="",N399=""),"",M399+N399)</f>
        <v/>
      </c>
      <c r="P399" s="16" t="str">
        <f aca="true">IF(O399="","",O399-TODAY())</f>
        <v/>
      </c>
      <c r="Q399" s="17" t="str">
        <f aca="false">IF(A399="","",TRIM(IF(E399="","No owner. ","")&amp;IF(F399="","No storage location. ","")&amp;IF(D399="","Serial missing. ","")&amp;IF(OR(H399="",H399="Undecided"),"No disposition. ","")&amp;IF(AND(H399="Ship",J399="",K399=""),"Shipping but no container/vehicle. ","")&amp;IF(AND(J399&lt;&gt;"",K399&lt;&gt;""),"In both a container and a vehicle. ","")&amp;IF(AND(H399="Ship",L399=""),"No destination. ","")&amp;IF(AND(J399&lt;&gt;"",L399&lt;&gt;"",IFERROR(VLOOKUP(J399,Containers!$A$5:$F$60,6,FALSE()),L399)&lt;&gt;L399),"Destination differs from container. ","")&amp;IF(AND(K399&lt;&gt;"",L399&lt;&gt;"",IFERROR(VLOOKUP(K399,Vehicles!$A$5:$F$60,6,FALSE()),L399)&lt;&gt;L399),"Destination differs from vehicle. ","")&amp;IF(AND(H399="Stay",OR(J399&lt;&gt;"",K399&lt;&gt;"",L399&lt;&gt;"")),"Marked Stay but has a container/vehicle/destination. ","")&amp;IF(G399="Missing","Reported missing. ","")&amp;IF(AND(P399&lt;&gt;"",N(P399)&lt;0),"Service overdue. ","")))</f>
        <v/>
      </c>
      <c r="S399" s="17" t="str">
        <f aca="false">IF(A399="","",IF(CHOOSE(MATCH(Find!$C$4,Lists!$K$2:$K$7,0),F399,E399,J399,K399,L399,G399)=Find!$C$5,MAX(S$4:S398)+1,""))</f>
        <v/>
      </c>
      <c r="T399" s="17" t="str">
        <f aca="false">IF(A399="","",IF(OR(J399=Manifest!$C$4,K399=Manifest!$C$4),MAX(T$4:T398)+1,""))</f>
        <v/>
      </c>
    </row>
    <row r="400" customFormat="false" ht="15" hidden="false" customHeight="false" outlineLevel="0" collapsed="false">
      <c r="C400" s="14"/>
      <c r="E400" s="14"/>
      <c r="F400" s="14"/>
      <c r="G400" s="14"/>
      <c r="H400" s="14"/>
      <c r="M400" s="12"/>
      <c r="O400" s="15" t="str">
        <f aca="false">IF(OR(M400="",N400=""),"",M400+N400)</f>
        <v/>
      </c>
      <c r="P400" s="16" t="str">
        <f aca="true">IF(O400="","",O400-TODAY())</f>
        <v/>
      </c>
      <c r="Q400" s="17" t="str">
        <f aca="false">IF(A400="","",TRIM(IF(E400="","No owner. ","")&amp;IF(F400="","No storage location. ","")&amp;IF(D400="","Serial missing. ","")&amp;IF(OR(H400="",H400="Undecided"),"No disposition. ","")&amp;IF(AND(H400="Ship",J400="",K400=""),"Shipping but no container/vehicle. ","")&amp;IF(AND(J400&lt;&gt;"",K400&lt;&gt;""),"In both a container and a vehicle. ","")&amp;IF(AND(H400="Ship",L400=""),"No destination. ","")&amp;IF(AND(J400&lt;&gt;"",L400&lt;&gt;"",IFERROR(VLOOKUP(J400,Containers!$A$5:$F$60,6,FALSE()),L400)&lt;&gt;L400),"Destination differs from container. ","")&amp;IF(AND(K400&lt;&gt;"",L400&lt;&gt;"",IFERROR(VLOOKUP(K400,Vehicles!$A$5:$F$60,6,FALSE()),L400)&lt;&gt;L400),"Destination differs from vehicle. ","")&amp;IF(AND(H400="Stay",OR(J400&lt;&gt;"",K400&lt;&gt;"",L400&lt;&gt;"")),"Marked Stay but has a container/vehicle/destination. ","")&amp;IF(G400="Missing","Reported missing. ","")&amp;IF(AND(P400&lt;&gt;"",N(P400)&lt;0),"Service overdue. ","")))</f>
        <v/>
      </c>
      <c r="S400" s="17" t="str">
        <f aca="false">IF(A400="","",IF(CHOOSE(MATCH(Find!$C$4,Lists!$K$2:$K$7,0),F400,E400,J400,K400,L400,G400)=Find!$C$5,MAX(S$4:S399)+1,""))</f>
        <v/>
      </c>
      <c r="T400" s="17" t="str">
        <f aca="false">IF(A400="","",IF(OR(J400=Manifest!$C$4,K400=Manifest!$C$4),MAX(T$4:T399)+1,""))</f>
        <v/>
      </c>
    </row>
    <row r="401" customFormat="false" ht="15" hidden="false" customHeight="false" outlineLevel="0" collapsed="false">
      <c r="C401" s="14"/>
      <c r="E401" s="14"/>
      <c r="F401" s="14"/>
      <c r="G401" s="14"/>
      <c r="H401" s="14"/>
      <c r="M401" s="12"/>
      <c r="O401" s="15" t="str">
        <f aca="false">IF(OR(M401="",N401=""),"",M401+N401)</f>
        <v/>
      </c>
      <c r="P401" s="16" t="str">
        <f aca="true">IF(O401="","",O401-TODAY())</f>
        <v/>
      </c>
      <c r="Q401" s="17" t="str">
        <f aca="false">IF(A401="","",TRIM(IF(E401="","No owner. ","")&amp;IF(F401="","No storage location. ","")&amp;IF(D401="","Serial missing. ","")&amp;IF(OR(H401="",H401="Undecided"),"No disposition. ","")&amp;IF(AND(H401="Ship",J401="",K401=""),"Shipping but no container/vehicle. ","")&amp;IF(AND(J401&lt;&gt;"",K401&lt;&gt;""),"In both a container and a vehicle. ","")&amp;IF(AND(H401="Ship",L401=""),"No destination. ","")&amp;IF(AND(J401&lt;&gt;"",L401&lt;&gt;"",IFERROR(VLOOKUP(J401,Containers!$A$5:$F$60,6,FALSE()),L401)&lt;&gt;L401),"Destination differs from container. ","")&amp;IF(AND(K401&lt;&gt;"",L401&lt;&gt;"",IFERROR(VLOOKUP(K401,Vehicles!$A$5:$F$60,6,FALSE()),L401)&lt;&gt;L401),"Destination differs from vehicle. ","")&amp;IF(AND(H401="Stay",OR(J401&lt;&gt;"",K401&lt;&gt;"",L401&lt;&gt;"")),"Marked Stay but has a container/vehicle/destination. ","")&amp;IF(G401="Missing","Reported missing. ","")&amp;IF(AND(P401&lt;&gt;"",N(P401)&lt;0),"Service overdue. ","")))</f>
        <v/>
      </c>
      <c r="S401" s="17" t="str">
        <f aca="false">IF(A401="","",IF(CHOOSE(MATCH(Find!$C$4,Lists!$K$2:$K$7,0),F401,E401,J401,K401,L401,G401)=Find!$C$5,MAX(S$4:S400)+1,""))</f>
        <v/>
      </c>
      <c r="T401" s="17" t="str">
        <f aca="false">IF(A401="","",IF(OR(J401=Manifest!$C$4,K401=Manifest!$C$4),MAX(T$4:T400)+1,""))</f>
        <v/>
      </c>
    </row>
    <row r="402" customFormat="false" ht="15" hidden="false" customHeight="false" outlineLevel="0" collapsed="false">
      <c r="C402" s="14"/>
      <c r="E402" s="14"/>
      <c r="F402" s="14"/>
      <c r="G402" s="14"/>
      <c r="H402" s="14"/>
      <c r="M402" s="12"/>
      <c r="O402" s="15" t="str">
        <f aca="false">IF(OR(M402="",N402=""),"",M402+N402)</f>
        <v/>
      </c>
      <c r="P402" s="16" t="str">
        <f aca="true">IF(O402="","",O402-TODAY())</f>
        <v/>
      </c>
      <c r="Q402" s="17" t="str">
        <f aca="false">IF(A402="","",TRIM(IF(E402="","No owner. ","")&amp;IF(F402="","No storage location. ","")&amp;IF(D402="","Serial missing. ","")&amp;IF(OR(H402="",H402="Undecided"),"No disposition. ","")&amp;IF(AND(H402="Ship",J402="",K402=""),"Shipping but no container/vehicle. ","")&amp;IF(AND(J402&lt;&gt;"",K402&lt;&gt;""),"In both a container and a vehicle. ","")&amp;IF(AND(H402="Ship",L402=""),"No destination. ","")&amp;IF(AND(J402&lt;&gt;"",L402&lt;&gt;"",IFERROR(VLOOKUP(J402,Containers!$A$5:$F$60,6,FALSE()),L402)&lt;&gt;L402),"Destination differs from container. ","")&amp;IF(AND(K402&lt;&gt;"",L402&lt;&gt;"",IFERROR(VLOOKUP(K402,Vehicles!$A$5:$F$60,6,FALSE()),L402)&lt;&gt;L402),"Destination differs from vehicle. ","")&amp;IF(AND(H402="Stay",OR(J402&lt;&gt;"",K402&lt;&gt;"",L402&lt;&gt;"")),"Marked Stay but has a container/vehicle/destination. ","")&amp;IF(G402="Missing","Reported missing. ","")&amp;IF(AND(P402&lt;&gt;"",N(P402)&lt;0),"Service overdue. ","")))</f>
        <v/>
      </c>
      <c r="S402" s="17" t="str">
        <f aca="false">IF(A402="","",IF(CHOOSE(MATCH(Find!$C$4,Lists!$K$2:$K$7,0),F402,E402,J402,K402,L402,G402)=Find!$C$5,MAX(S$4:S401)+1,""))</f>
        <v/>
      </c>
      <c r="T402" s="17" t="str">
        <f aca="false">IF(A402="","",IF(OR(J402=Manifest!$C$4,K402=Manifest!$C$4),MAX(T$4:T401)+1,""))</f>
        <v/>
      </c>
    </row>
    <row r="403" customFormat="false" ht="15" hidden="false" customHeight="false" outlineLevel="0" collapsed="false">
      <c r="C403" s="14"/>
      <c r="E403" s="14"/>
      <c r="F403" s="14"/>
      <c r="G403" s="14"/>
      <c r="H403" s="14"/>
      <c r="M403" s="12"/>
      <c r="O403" s="15" t="str">
        <f aca="false">IF(OR(M403="",N403=""),"",M403+N403)</f>
        <v/>
      </c>
      <c r="P403" s="16" t="str">
        <f aca="true">IF(O403="","",O403-TODAY())</f>
        <v/>
      </c>
      <c r="Q403" s="17" t="str">
        <f aca="false">IF(A403="","",TRIM(IF(E403="","No owner. ","")&amp;IF(F403="","No storage location. ","")&amp;IF(D403="","Serial missing. ","")&amp;IF(OR(H403="",H403="Undecided"),"No disposition. ","")&amp;IF(AND(H403="Ship",J403="",K403=""),"Shipping but no container/vehicle. ","")&amp;IF(AND(J403&lt;&gt;"",K403&lt;&gt;""),"In both a container and a vehicle. ","")&amp;IF(AND(H403="Ship",L403=""),"No destination. ","")&amp;IF(AND(J403&lt;&gt;"",L403&lt;&gt;"",IFERROR(VLOOKUP(J403,Containers!$A$5:$F$60,6,FALSE()),L403)&lt;&gt;L403),"Destination differs from container. ","")&amp;IF(AND(K403&lt;&gt;"",L403&lt;&gt;"",IFERROR(VLOOKUP(K403,Vehicles!$A$5:$F$60,6,FALSE()),L403)&lt;&gt;L403),"Destination differs from vehicle. ","")&amp;IF(AND(H403="Stay",OR(J403&lt;&gt;"",K403&lt;&gt;"",L403&lt;&gt;"")),"Marked Stay but has a container/vehicle/destination. ","")&amp;IF(G403="Missing","Reported missing. ","")&amp;IF(AND(P403&lt;&gt;"",N(P403)&lt;0),"Service overdue. ","")))</f>
        <v/>
      </c>
      <c r="S403" s="17" t="str">
        <f aca="false">IF(A403="","",IF(CHOOSE(MATCH(Find!$C$4,Lists!$K$2:$K$7,0),F403,E403,J403,K403,L403,G403)=Find!$C$5,MAX(S$4:S402)+1,""))</f>
        <v/>
      </c>
      <c r="T403" s="17" t="str">
        <f aca="false">IF(A403="","",IF(OR(J403=Manifest!$C$4,K403=Manifest!$C$4),MAX(T$4:T402)+1,""))</f>
        <v/>
      </c>
    </row>
    <row r="404" customFormat="false" ht="15" hidden="false" customHeight="false" outlineLevel="0" collapsed="false">
      <c r="C404" s="14"/>
      <c r="E404" s="14"/>
      <c r="F404" s="14"/>
      <c r="G404" s="14"/>
      <c r="H404" s="14"/>
      <c r="M404" s="12"/>
      <c r="O404" s="15" t="str">
        <f aca="false">IF(OR(M404="",N404=""),"",M404+N404)</f>
        <v/>
      </c>
      <c r="P404" s="16" t="str">
        <f aca="true">IF(O404="","",O404-TODAY())</f>
        <v/>
      </c>
      <c r="Q404" s="17" t="str">
        <f aca="false">IF(A404="","",TRIM(IF(E404="","No owner. ","")&amp;IF(F404="","No storage location. ","")&amp;IF(D404="","Serial missing. ","")&amp;IF(OR(H404="",H404="Undecided"),"No disposition. ","")&amp;IF(AND(H404="Ship",J404="",K404=""),"Shipping but no container/vehicle. ","")&amp;IF(AND(J404&lt;&gt;"",K404&lt;&gt;""),"In both a container and a vehicle. ","")&amp;IF(AND(H404="Ship",L404=""),"No destination. ","")&amp;IF(AND(J404&lt;&gt;"",L404&lt;&gt;"",IFERROR(VLOOKUP(J404,Containers!$A$5:$F$60,6,FALSE()),L404)&lt;&gt;L404),"Destination differs from container. ","")&amp;IF(AND(K404&lt;&gt;"",L404&lt;&gt;"",IFERROR(VLOOKUP(K404,Vehicles!$A$5:$F$60,6,FALSE()),L404)&lt;&gt;L404),"Destination differs from vehicle. ","")&amp;IF(AND(H404="Stay",OR(J404&lt;&gt;"",K404&lt;&gt;"",L404&lt;&gt;"")),"Marked Stay but has a container/vehicle/destination. ","")&amp;IF(G404="Missing","Reported missing. ","")&amp;IF(AND(P404&lt;&gt;"",N(P404)&lt;0),"Service overdue. ","")))</f>
        <v/>
      </c>
      <c r="S404" s="17" t="str">
        <f aca="false">IF(A404="","",IF(CHOOSE(MATCH(Find!$C$4,Lists!$K$2:$K$7,0),F404,E404,J404,K404,L404,G404)=Find!$C$5,MAX(S$4:S403)+1,""))</f>
        <v/>
      </c>
      <c r="T404" s="17" t="str">
        <f aca="false">IF(A404="","",IF(OR(J404=Manifest!$C$4,K404=Manifest!$C$4),MAX(T$4:T403)+1,""))</f>
        <v/>
      </c>
    </row>
    <row r="405" customFormat="false" ht="15" hidden="false" customHeight="false" outlineLevel="0" collapsed="false">
      <c r="C405" s="14"/>
      <c r="E405" s="14"/>
      <c r="F405" s="14"/>
      <c r="G405" s="14"/>
      <c r="H405" s="14"/>
      <c r="M405" s="12"/>
      <c r="O405" s="15" t="str">
        <f aca="false">IF(OR(M405="",N405=""),"",M405+N405)</f>
        <v/>
      </c>
      <c r="P405" s="16" t="str">
        <f aca="true">IF(O405="","",O405-TODAY())</f>
        <v/>
      </c>
      <c r="Q405" s="17" t="str">
        <f aca="false">IF(A405="","",TRIM(IF(E405="","No owner. ","")&amp;IF(F405="","No storage location. ","")&amp;IF(D405="","Serial missing. ","")&amp;IF(OR(H405="",H405="Undecided"),"No disposition. ","")&amp;IF(AND(H405="Ship",J405="",K405=""),"Shipping but no container/vehicle. ","")&amp;IF(AND(J405&lt;&gt;"",K405&lt;&gt;""),"In both a container and a vehicle. ","")&amp;IF(AND(H405="Ship",L405=""),"No destination. ","")&amp;IF(AND(J405&lt;&gt;"",L405&lt;&gt;"",IFERROR(VLOOKUP(J405,Containers!$A$5:$F$60,6,FALSE()),L405)&lt;&gt;L405),"Destination differs from container. ","")&amp;IF(AND(K405&lt;&gt;"",L405&lt;&gt;"",IFERROR(VLOOKUP(K405,Vehicles!$A$5:$F$60,6,FALSE()),L405)&lt;&gt;L405),"Destination differs from vehicle. ","")&amp;IF(AND(H405="Stay",OR(J405&lt;&gt;"",K405&lt;&gt;"",L405&lt;&gt;"")),"Marked Stay but has a container/vehicle/destination. ","")&amp;IF(G405="Missing","Reported missing. ","")&amp;IF(AND(P405&lt;&gt;"",N(P405)&lt;0),"Service overdue. ","")))</f>
        <v/>
      </c>
      <c r="S405" s="17" t="str">
        <f aca="false">IF(A405="","",IF(CHOOSE(MATCH(Find!$C$4,Lists!$K$2:$K$7,0),F405,E405,J405,K405,L405,G405)=Find!$C$5,MAX(S$4:S404)+1,""))</f>
        <v/>
      </c>
      <c r="T405" s="17" t="str">
        <f aca="false">IF(A405="","",IF(OR(J405=Manifest!$C$4,K405=Manifest!$C$4),MAX(T$4:T404)+1,""))</f>
        <v/>
      </c>
    </row>
    <row r="406" customFormat="false" ht="15" hidden="false" customHeight="false" outlineLevel="0" collapsed="false">
      <c r="C406" s="14"/>
      <c r="E406" s="14"/>
      <c r="F406" s="14"/>
      <c r="G406" s="14"/>
      <c r="H406" s="14"/>
      <c r="M406" s="12"/>
      <c r="O406" s="15" t="str">
        <f aca="false">IF(OR(M406="",N406=""),"",M406+N406)</f>
        <v/>
      </c>
      <c r="P406" s="16" t="str">
        <f aca="true">IF(O406="","",O406-TODAY())</f>
        <v/>
      </c>
      <c r="Q406" s="17" t="str">
        <f aca="false">IF(A406="","",TRIM(IF(E406="","No owner. ","")&amp;IF(F406="","No storage location. ","")&amp;IF(D406="","Serial missing. ","")&amp;IF(OR(H406="",H406="Undecided"),"No disposition. ","")&amp;IF(AND(H406="Ship",J406="",K406=""),"Shipping but no container/vehicle. ","")&amp;IF(AND(J406&lt;&gt;"",K406&lt;&gt;""),"In both a container and a vehicle. ","")&amp;IF(AND(H406="Ship",L406=""),"No destination. ","")&amp;IF(AND(J406&lt;&gt;"",L406&lt;&gt;"",IFERROR(VLOOKUP(J406,Containers!$A$5:$F$60,6,FALSE()),L406)&lt;&gt;L406),"Destination differs from container. ","")&amp;IF(AND(K406&lt;&gt;"",L406&lt;&gt;"",IFERROR(VLOOKUP(K406,Vehicles!$A$5:$F$60,6,FALSE()),L406)&lt;&gt;L406),"Destination differs from vehicle. ","")&amp;IF(AND(H406="Stay",OR(J406&lt;&gt;"",K406&lt;&gt;"",L406&lt;&gt;"")),"Marked Stay but has a container/vehicle/destination. ","")&amp;IF(G406="Missing","Reported missing. ","")&amp;IF(AND(P406&lt;&gt;"",N(P406)&lt;0),"Service overdue. ","")))</f>
        <v/>
      </c>
      <c r="S406" s="17" t="str">
        <f aca="false">IF(A406="","",IF(CHOOSE(MATCH(Find!$C$4,Lists!$K$2:$K$7,0),F406,E406,J406,K406,L406,G406)=Find!$C$5,MAX(S$4:S405)+1,""))</f>
        <v/>
      </c>
      <c r="T406" s="17" t="str">
        <f aca="false">IF(A406="","",IF(OR(J406=Manifest!$C$4,K406=Manifest!$C$4),MAX(T$4:T405)+1,""))</f>
        <v/>
      </c>
    </row>
    <row r="407" customFormat="false" ht="15" hidden="false" customHeight="false" outlineLevel="0" collapsed="false">
      <c r="C407" s="14"/>
      <c r="E407" s="14"/>
      <c r="F407" s="14"/>
      <c r="G407" s="14"/>
      <c r="H407" s="14"/>
      <c r="M407" s="12"/>
      <c r="O407" s="15" t="str">
        <f aca="false">IF(OR(M407="",N407=""),"",M407+N407)</f>
        <v/>
      </c>
      <c r="P407" s="16" t="str">
        <f aca="true">IF(O407="","",O407-TODAY())</f>
        <v/>
      </c>
      <c r="Q407" s="17" t="str">
        <f aca="false">IF(A407="","",TRIM(IF(E407="","No owner. ","")&amp;IF(F407="","No storage location. ","")&amp;IF(D407="","Serial missing. ","")&amp;IF(OR(H407="",H407="Undecided"),"No disposition. ","")&amp;IF(AND(H407="Ship",J407="",K407=""),"Shipping but no container/vehicle. ","")&amp;IF(AND(J407&lt;&gt;"",K407&lt;&gt;""),"In both a container and a vehicle. ","")&amp;IF(AND(H407="Ship",L407=""),"No destination. ","")&amp;IF(AND(J407&lt;&gt;"",L407&lt;&gt;"",IFERROR(VLOOKUP(J407,Containers!$A$5:$F$60,6,FALSE()),L407)&lt;&gt;L407),"Destination differs from container. ","")&amp;IF(AND(K407&lt;&gt;"",L407&lt;&gt;"",IFERROR(VLOOKUP(K407,Vehicles!$A$5:$F$60,6,FALSE()),L407)&lt;&gt;L407),"Destination differs from vehicle. ","")&amp;IF(AND(H407="Stay",OR(J407&lt;&gt;"",K407&lt;&gt;"",L407&lt;&gt;"")),"Marked Stay but has a container/vehicle/destination. ","")&amp;IF(G407="Missing","Reported missing. ","")&amp;IF(AND(P407&lt;&gt;"",N(P407)&lt;0),"Service overdue. ","")))</f>
        <v/>
      </c>
      <c r="S407" s="17" t="str">
        <f aca="false">IF(A407="","",IF(CHOOSE(MATCH(Find!$C$4,Lists!$K$2:$K$7,0),F407,E407,J407,K407,L407,G407)=Find!$C$5,MAX(S$4:S406)+1,""))</f>
        <v/>
      </c>
      <c r="T407" s="17" t="str">
        <f aca="false">IF(A407="","",IF(OR(J407=Manifest!$C$4,K407=Manifest!$C$4),MAX(T$4:T406)+1,""))</f>
        <v/>
      </c>
    </row>
    <row r="408" customFormat="false" ht="15" hidden="false" customHeight="false" outlineLevel="0" collapsed="false">
      <c r="C408" s="14"/>
      <c r="E408" s="14"/>
      <c r="F408" s="14"/>
      <c r="G408" s="14"/>
      <c r="H408" s="14"/>
      <c r="M408" s="12"/>
      <c r="O408" s="15" t="str">
        <f aca="false">IF(OR(M408="",N408=""),"",M408+N408)</f>
        <v/>
      </c>
      <c r="P408" s="16" t="str">
        <f aca="true">IF(O408="","",O408-TODAY())</f>
        <v/>
      </c>
      <c r="Q408" s="17" t="str">
        <f aca="false">IF(A408="","",TRIM(IF(E408="","No owner. ","")&amp;IF(F408="","No storage location. ","")&amp;IF(D408="","Serial missing. ","")&amp;IF(OR(H408="",H408="Undecided"),"No disposition. ","")&amp;IF(AND(H408="Ship",J408="",K408=""),"Shipping but no container/vehicle. ","")&amp;IF(AND(J408&lt;&gt;"",K408&lt;&gt;""),"In both a container and a vehicle. ","")&amp;IF(AND(H408="Ship",L408=""),"No destination. ","")&amp;IF(AND(J408&lt;&gt;"",L408&lt;&gt;"",IFERROR(VLOOKUP(J408,Containers!$A$5:$F$60,6,FALSE()),L408)&lt;&gt;L408),"Destination differs from container. ","")&amp;IF(AND(K408&lt;&gt;"",L408&lt;&gt;"",IFERROR(VLOOKUP(K408,Vehicles!$A$5:$F$60,6,FALSE()),L408)&lt;&gt;L408),"Destination differs from vehicle. ","")&amp;IF(AND(H408="Stay",OR(J408&lt;&gt;"",K408&lt;&gt;"",L408&lt;&gt;"")),"Marked Stay but has a container/vehicle/destination. ","")&amp;IF(G408="Missing","Reported missing. ","")&amp;IF(AND(P408&lt;&gt;"",N(P408)&lt;0),"Service overdue. ","")))</f>
        <v/>
      </c>
      <c r="S408" s="17" t="str">
        <f aca="false">IF(A408="","",IF(CHOOSE(MATCH(Find!$C$4,Lists!$K$2:$K$7,0),F408,E408,J408,K408,L408,G408)=Find!$C$5,MAX(S$4:S407)+1,""))</f>
        <v/>
      </c>
      <c r="T408" s="17" t="str">
        <f aca="false">IF(A408="","",IF(OR(J408=Manifest!$C$4,K408=Manifest!$C$4),MAX(T$4:T407)+1,""))</f>
        <v/>
      </c>
    </row>
    <row r="409" customFormat="false" ht="15" hidden="false" customHeight="false" outlineLevel="0" collapsed="false">
      <c r="C409" s="14"/>
      <c r="E409" s="14"/>
      <c r="F409" s="14"/>
      <c r="G409" s="14"/>
      <c r="H409" s="14"/>
      <c r="M409" s="12"/>
      <c r="O409" s="15" t="str">
        <f aca="false">IF(OR(M409="",N409=""),"",M409+N409)</f>
        <v/>
      </c>
      <c r="P409" s="16" t="str">
        <f aca="true">IF(O409="","",O409-TODAY())</f>
        <v/>
      </c>
      <c r="Q409" s="17" t="str">
        <f aca="false">IF(A409="","",TRIM(IF(E409="","No owner. ","")&amp;IF(F409="","No storage location. ","")&amp;IF(D409="","Serial missing. ","")&amp;IF(OR(H409="",H409="Undecided"),"No disposition. ","")&amp;IF(AND(H409="Ship",J409="",K409=""),"Shipping but no container/vehicle. ","")&amp;IF(AND(J409&lt;&gt;"",K409&lt;&gt;""),"In both a container and a vehicle. ","")&amp;IF(AND(H409="Ship",L409=""),"No destination. ","")&amp;IF(AND(J409&lt;&gt;"",L409&lt;&gt;"",IFERROR(VLOOKUP(J409,Containers!$A$5:$F$60,6,FALSE()),L409)&lt;&gt;L409),"Destination differs from container. ","")&amp;IF(AND(K409&lt;&gt;"",L409&lt;&gt;"",IFERROR(VLOOKUP(K409,Vehicles!$A$5:$F$60,6,FALSE()),L409)&lt;&gt;L409),"Destination differs from vehicle. ","")&amp;IF(AND(H409="Stay",OR(J409&lt;&gt;"",K409&lt;&gt;"",L409&lt;&gt;"")),"Marked Stay but has a container/vehicle/destination. ","")&amp;IF(G409="Missing","Reported missing. ","")&amp;IF(AND(P409&lt;&gt;"",N(P409)&lt;0),"Service overdue. ","")))</f>
        <v/>
      </c>
      <c r="S409" s="17" t="str">
        <f aca="false">IF(A409="","",IF(CHOOSE(MATCH(Find!$C$4,Lists!$K$2:$K$7,0),F409,E409,J409,K409,L409,G409)=Find!$C$5,MAX(S$4:S408)+1,""))</f>
        <v/>
      </c>
      <c r="T409" s="17" t="str">
        <f aca="false">IF(A409="","",IF(OR(J409=Manifest!$C$4,K409=Manifest!$C$4),MAX(T$4:T408)+1,""))</f>
        <v/>
      </c>
    </row>
    <row r="410" customFormat="false" ht="15" hidden="false" customHeight="false" outlineLevel="0" collapsed="false">
      <c r="C410" s="14"/>
      <c r="E410" s="14"/>
      <c r="F410" s="14"/>
      <c r="G410" s="14"/>
      <c r="H410" s="14"/>
      <c r="M410" s="12"/>
      <c r="O410" s="15" t="str">
        <f aca="false">IF(OR(M410="",N410=""),"",M410+N410)</f>
        <v/>
      </c>
      <c r="P410" s="16" t="str">
        <f aca="true">IF(O410="","",O410-TODAY())</f>
        <v/>
      </c>
      <c r="Q410" s="17" t="str">
        <f aca="false">IF(A410="","",TRIM(IF(E410="","No owner. ","")&amp;IF(F410="","No storage location. ","")&amp;IF(D410="","Serial missing. ","")&amp;IF(OR(H410="",H410="Undecided"),"No disposition. ","")&amp;IF(AND(H410="Ship",J410="",K410=""),"Shipping but no container/vehicle. ","")&amp;IF(AND(J410&lt;&gt;"",K410&lt;&gt;""),"In both a container and a vehicle. ","")&amp;IF(AND(H410="Ship",L410=""),"No destination. ","")&amp;IF(AND(J410&lt;&gt;"",L410&lt;&gt;"",IFERROR(VLOOKUP(J410,Containers!$A$5:$F$60,6,FALSE()),L410)&lt;&gt;L410),"Destination differs from container. ","")&amp;IF(AND(K410&lt;&gt;"",L410&lt;&gt;"",IFERROR(VLOOKUP(K410,Vehicles!$A$5:$F$60,6,FALSE()),L410)&lt;&gt;L410),"Destination differs from vehicle. ","")&amp;IF(AND(H410="Stay",OR(J410&lt;&gt;"",K410&lt;&gt;"",L410&lt;&gt;"")),"Marked Stay but has a container/vehicle/destination. ","")&amp;IF(G410="Missing","Reported missing. ","")&amp;IF(AND(P410&lt;&gt;"",N(P410)&lt;0),"Service overdue. ","")))</f>
        <v/>
      </c>
      <c r="S410" s="17" t="str">
        <f aca="false">IF(A410="","",IF(CHOOSE(MATCH(Find!$C$4,Lists!$K$2:$K$7,0),F410,E410,J410,K410,L410,G410)=Find!$C$5,MAX(S$4:S409)+1,""))</f>
        <v/>
      </c>
      <c r="T410" s="17" t="str">
        <f aca="false">IF(A410="","",IF(OR(J410=Manifest!$C$4,K410=Manifest!$C$4),MAX(T$4:T409)+1,""))</f>
        <v/>
      </c>
    </row>
    <row r="411" customFormat="false" ht="15" hidden="false" customHeight="false" outlineLevel="0" collapsed="false">
      <c r="C411" s="14"/>
      <c r="E411" s="14"/>
      <c r="F411" s="14"/>
      <c r="G411" s="14"/>
      <c r="H411" s="14"/>
      <c r="M411" s="12"/>
      <c r="O411" s="15" t="str">
        <f aca="false">IF(OR(M411="",N411=""),"",M411+N411)</f>
        <v/>
      </c>
      <c r="P411" s="16" t="str">
        <f aca="true">IF(O411="","",O411-TODAY())</f>
        <v/>
      </c>
      <c r="Q411" s="17" t="str">
        <f aca="false">IF(A411="","",TRIM(IF(E411="","No owner. ","")&amp;IF(F411="","No storage location. ","")&amp;IF(D411="","Serial missing. ","")&amp;IF(OR(H411="",H411="Undecided"),"No disposition. ","")&amp;IF(AND(H411="Ship",J411="",K411=""),"Shipping but no container/vehicle. ","")&amp;IF(AND(J411&lt;&gt;"",K411&lt;&gt;""),"In both a container and a vehicle. ","")&amp;IF(AND(H411="Ship",L411=""),"No destination. ","")&amp;IF(AND(J411&lt;&gt;"",L411&lt;&gt;"",IFERROR(VLOOKUP(J411,Containers!$A$5:$F$60,6,FALSE()),L411)&lt;&gt;L411),"Destination differs from container. ","")&amp;IF(AND(K411&lt;&gt;"",L411&lt;&gt;"",IFERROR(VLOOKUP(K411,Vehicles!$A$5:$F$60,6,FALSE()),L411)&lt;&gt;L411),"Destination differs from vehicle. ","")&amp;IF(AND(H411="Stay",OR(J411&lt;&gt;"",K411&lt;&gt;"",L411&lt;&gt;"")),"Marked Stay but has a container/vehicle/destination. ","")&amp;IF(G411="Missing","Reported missing. ","")&amp;IF(AND(P411&lt;&gt;"",N(P411)&lt;0),"Service overdue. ","")))</f>
        <v/>
      </c>
      <c r="S411" s="17" t="str">
        <f aca="false">IF(A411="","",IF(CHOOSE(MATCH(Find!$C$4,Lists!$K$2:$K$7,0),F411,E411,J411,K411,L411,G411)=Find!$C$5,MAX(S$4:S410)+1,""))</f>
        <v/>
      </c>
      <c r="T411" s="17" t="str">
        <f aca="false">IF(A411="","",IF(OR(J411=Manifest!$C$4,K411=Manifest!$C$4),MAX(T$4:T410)+1,""))</f>
        <v/>
      </c>
    </row>
    <row r="412" customFormat="false" ht="15" hidden="false" customHeight="false" outlineLevel="0" collapsed="false">
      <c r="C412" s="14"/>
      <c r="E412" s="14"/>
      <c r="F412" s="14"/>
      <c r="G412" s="14"/>
      <c r="H412" s="14"/>
      <c r="M412" s="12"/>
      <c r="O412" s="15" t="str">
        <f aca="false">IF(OR(M412="",N412=""),"",M412+N412)</f>
        <v/>
      </c>
      <c r="P412" s="16" t="str">
        <f aca="true">IF(O412="","",O412-TODAY())</f>
        <v/>
      </c>
      <c r="Q412" s="17" t="str">
        <f aca="false">IF(A412="","",TRIM(IF(E412="","No owner. ","")&amp;IF(F412="","No storage location. ","")&amp;IF(D412="","Serial missing. ","")&amp;IF(OR(H412="",H412="Undecided"),"No disposition. ","")&amp;IF(AND(H412="Ship",J412="",K412=""),"Shipping but no container/vehicle. ","")&amp;IF(AND(J412&lt;&gt;"",K412&lt;&gt;""),"In both a container and a vehicle. ","")&amp;IF(AND(H412="Ship",L412=""),"No destination. ","")&amp;IF(AND(J412&lt;&gt;"",L412&lt;&gt;"",IFERROR(VLOOKUP(J412,Containers!$A$5:$F$60,6,FALSE()),L412)&lt;&gt;L412),"Destination differs from container. ","")&amp;IF(AND(K412&lt;&gt;"",L412&lt;&gt;"",IFERROR(VLOOKUP(K412,Vehicles!$A$5:$F$60,6,FALSE()),L412)&lt;&gt;L412),"Destination differs from vehicle. ","")&amp;IF(AND(H412="Stay",OR(J412&lt;&gt;"",K412&lt;&gt;"",L412&lt;&gt;"")),"Marked Stay but has a container/vehicle/destination. ","")&amp;IF(G412="Missing","Reported missing. ","")&amp;IF(AND(P412&lt;&gt;"",N(P412)&lt;0),"Service overdue. ","")))</f>
        <v/>
      </c>
      <c r="S412" s="17" t="str">
        <f aca="false">IF(A412="","",IF(CHOOSE(MATCH(Find!$C$4,Lists!$K$2:$K$7,0),F412,E412,J412,K412,L412,G412)=Find!$C$5,MAX(S$4:S411)+1,""))</f>
        <v/>
      </c>
      <c r="T412" s="17" t="str">
        <f aca="false">IF(A412="","",IF(OR(J412=Manifest!$C$4,K412=Manifest!$C$4),MAX(T$4:T411)+1,""))</f>
        <v/>
      </c>
    </row>
    <row r="413" customFormat="false" ht="15" hidden="false" customHeight="false" outlineLevel="0" collapsed="false">
      <c r="C413" s="14"/>
      <c r="E413" s="14"/>
      <c r="F413" s="14"/>
      <c r="G413" s="14"/>
      <c r="H413" s="14"/>
      <c r="M413" s="12"/>
      <c r="O413" s="15" t="str">
        <f aca="false">IF(OR(M413="",N413=""),"",M413+N413)</f>
        <v/>
      </c>
      <c r="P413" s="16" t="str">
        <f aca="true">IF(O413="","",O413-TODAY())</f>
        <v/>
      </c>
      <c r="Q413" s="17" t="str">
        <f aca="false">IF(A413="","",TRIM(IF(E413="","No owner. ","")&amp;IF(F413="","No storage location. ","")&amp;IF(D413="","Serial missing. ","")&amp;IF(OR(H413="",H413="Undecided"),"No disposition. ","")&amp;IF(AND(H413="Ship",J413="",K413=""),"Shipping but no container/vehicle. ","")&amp;IF(AND(J413&lt;&gt;"",K413&lt;&gt;""),"In both a container and a vehicle. ","")&amp;IF(AND(H413="Ship",L413=""),"No destination. ","")&amp;IF(AND(J413&lt;&gt;"",L413&lt;&gt;"",IFERROR(VLOOKUP(J413,Containers!$A$5:$F$60,6,FALSE()),L413)&lt;&gt;L413),"Destination differs from container. ","")&amp;IF(AND(K413&lt;&gt;"",L413&lt;&gt;"",IFERROR(VLOOKUP(K413,Vehicles!$A$5:$F$60,6,FALSE()),L413)&lt;&gt;L413),"Destination differs from vehicle. ","")&amp;IF(AND(H413="Stay",OR(J413&lt;&gt;"",K413&lt;&gt;"",L413&lt;&gt;"")),"Marked Stay but has a container/vehicle/destination. ","")&amp;IF(G413="Missing","Reported missing. ","")&amp;IF(AND(P413&lt;&gt;"",N(P413)&lt;0),"Service overdue. ","")))</f>
        <v/>
      </c>
      <c r="S413" s="17" t="str">
        <f aca="false">IF(A413="","",IF(CHOOSE(MATCH(Find!$C$4,Lists!$K$2:$K$7,0),F413,E413,J413,K413,L413,G413)=Find!$C$5,MAX(S$4:S412)+1,""))</f>
        <v/>
      </c>
      <c r="T413" s="17" t="str">
        <f aca="false">IF(A413="","",IF(OR(J413=Manifest!$C$4,K413=Manifest!$C$4),MAX(T$4:T412)+1,""))</f>
        <v/>
      </c>
    </row>
    <row r="414" customFormat="false" ht="15" hidden="false" customHeight="false" outlineLevel="0" collapsed="false">
      <c r="C414" s="14"/>
      <c r="E414" s="14"/>
      <c r="F414" s="14"/>
      <c r="G414" s="14"/>
      <c r="H414" s="14"/>
      <c r="M414" s="12"/>
      <c r="O414" s="15" t="str">
        <f aca="false">IF(OR(M414="",N414=""),"",M414+N414)</f>
        <v/>
      </c>
      <c r="P414" s="16" t="str">
        <f aca="true">IF(O414="","",O414-TODAY())</f>
        <v/>
      </c>
      <c r="Q414" s="17" t="str">
        <f aca="false">IF(A414="","",TRIM(IF(E414="","No owner. ","")&amp;IF(F414="","No storage location. ","")&amp;IF(D414="","Serial missing. ","")&amp;IF(OR(H414="",H414="Undecided"),"No disposition. ","")&amp;IF(AND(H414="Ship",J414="",K414=""),"Shipping but no container/vehicle. ","")&amp;IF(AND(J414&lt;&gt;"",K414&lt;&gt;""),"In both a container and a vehicle. ","")&amp;IF(AND(H414="Ship",L414=""),"No destination. ","")&amp;IF(AND(J414&lt;&gt;"",L414&lt;&gt;"",IFERROR(VLOOKUP(J414,Containers!$A$5:$F$60,6,FALSE()),L414)&lt;&gt;L414),"Destination differs from container. ","")&amp;IF(AND(K414&lt;&gt;"",L414&lt;&gt;"",IFERROR(VLOOKUP(K414,Vehicles!$A$5:$F$60,6,FALSE()),L414)&lt;&gt;L414),"Destination differs from vehicle. ","")&amp;IF(AND(H414="Stay",OR(J414&lt;&gt;"",K414&lt;&gt;"",L414&lt;&gt;"")),"Marked Stay but has a container/vehicle/destination. ","")&amp;IF(G414="Missing","Reported missing. ","")&amp;IF(AND(P414&lt;&gt;"",N(P414)&lt;0),"Service overdue. ","")))</f>
        <v/>
      </c>
      <c r="S414" s="17" t="str">
        <f aca="false">IF(A414="","",IF(CHOOSE(MATCH(Find!$C$4,Lists!$K$2:$K$7,0),F414,E414,J414,K414,L414,G414)=Find!$C$5,MAX(S$4:S413)+1,""))</f>
        <v/>
      </c>
      <c r="T414" s="17" t="str">
        <f aca="false">IF(A414="","",IF(OR(J414=Manifest!$C$4,K414=Manifest!$C$4),MAX(T$4:T413)+1,""))</f>
        <v/>
      </c>
    </row>
    <row r="415" customFormat="false" ht="15" hidden="false" customHeight="false" outlineLevel="0" collapsed="false">
      <c r="C415" s="14"/>
      <c r="E415" s="14"/>
      <c r="F415" s="14"/>
      <c r="G415" s="14"/>
      <c r="H415" s="14"/>
      <c r="M415" s="12"/>
      <c r="O415" s="15" t="str">
        <f aca="false">IF(OR(M415="",N415=""),"",M415+N415)</f>
        <v/>
      </c>
      <c r="P415" s="16" t="str">
        <f aca="true">IF(O415="","",O415-TODAY())</f>
        <v/>
      </c>
      <c r="Q415" s="17" t="str">
        <f aca="false">IF(A415="","",TRIM(IF(E415="","No owner. ","")&amp;IF(F415="","No storage location. ","")&amp;IF(D415="","Serial missing. ","")&amp;IF(OR(H415="",H415="Undecided"),"No disposition. ","")&amp;IF(AND(H415="Ship",J415="",K415=""),"Shipping but no container/vehicle. ","")&amp;IF(AND(J415&lt;&gt;"",K415&lt;&gt;""),"In both a container and a vehicle. ","")&amp;IF(AND(H415="Ship",L415=""),"No destination. ","")&amp;IF(AND(J415&lt;&gt;"",L415&lt;&gt;"",IFERROR(VLOOKUP(J415,Containers!$A$5:$F$60,6,FALSE()),L415)&lt;&gt;L415),"Destination differs from container. ","")&amp;IF(AND(K415&lt;&gt;"",L415&lt;&gt;"",IFERROR(VLOOKUP(K415,Vehicles!$A$5:$F$60,6,FALSE()),L415)&lt;&gt;L415),"Destination differs from vehicle. ","")&amp;IF(AND(H415="Stay",OR(J415&lt;&gt;"",K415&lt;&gt;"",L415&lt;&gt;"")),"Marked Stay but has a container/vehicle/destination. ","")&amp;IF(G415="Missing","Reported missing. ","")&amp;IF(AND(P415&lt;&gt;"",N(P415)&lt;0),"Service overdue. ","")))</f>
        <v/>
      </c>
      <c r="S415" s="17" t="str">
        <f aca="false">IF(A415="","",IF(CHOOSE(MATCH(Find!$C$4,Lists!$K$2:$K$7,0),F415,E415,J415,K415,L415,G415)=Find!$C$5,MAX(S$4:S414)+1,""))</f>
        <v/>
      </c>
      <c r="T415" s="17" t="str">
        <f aca="false">IF(A415="","",IF(OR(J415=Manifest!$C$4,K415=Manifest!$C$4),MAX(T$4:T414)+1,""))</f>
        <v/>
      </c>
    </row>
    <row r="416" customFormat="false" ht="15" hidden="false" customHeight="false" outlineLevel="0" collapsed="false">
      <c r="C416" s="14"/>
      <c r="E416" s="14"/>
      <c r="F416" s="14"/>
      <c r="G416" s="14"/>
      <c r="H416" s="14"/>
      <c r="M416" s="12"/>
      <c r="O416" s="15" t="str">
        <f aca="false">IF(OR(M416="",N416=""),"",M416+N416)</f>
        <v/>
      </c>
      <c r="P416" s="16" t="str">
        <f aca="true">IF(O416="","",O416-TODAY())</f>
        <v/>
      </c>
      <c r="Q416" s="17" t="str">
        <f aca="false">IF(A416="","",TRIM(IF(E416="","No owner. ","")&amp;IF(F416="","No storage location. ","")&amp;IF(D416="","Serial missing. ","")&amp;IF(OR(H416="",H416="Undecided"),"No disposition. ","")&amp;IF(AND(H416="Ship",J416="",K416=""),"Shipping but no container/vehicle. ","")&amp;IF(AND(J416&lt;&gt;"",K416&lt;&gt;""),"In both a container and a vehicle. ","")&amp;IF(AND(H416="Ship",L416=""),"No destination. ","")&amp;IF(AND(J416&lt;&gt;"",L416&lt;&gt;"",IFERROR(VLOOKUP(J416,Containers!$A$5:$F$60,6,FALSE()),L416)&lt;&gt;L416),"Destination differs from container. ","")&amp;IF(AND(K416&lt;&gt;"",L416&lt;&gt;"",IFERROR(VLOOKUP(K416,Vehicles!$A$5:$F$60,6,FALSE()),L416)&lt;&gt;L416),"Destination differs from vehicle. ","")&amp;IF(AND(H416="Stay",OR(J416&lt;&gt;"",K416&lt;&gt;"",L416&lt;&gt;"")),"Marked Stay but has a container/vehicle/destination. ","")&amp;IF(G416="Missing","Reported missing. ","")&amp;IF(AND(P416&lt;&gt;"",N(P416)&lt;0),"Service overdue. ","")))</f>
        <v/>
      </c>
      <c r="S416" s="17" t="str">
        <f aca="false">IF(A416="","",IF(CHOOSE(MATCH(Find!$C$4,Lists!$K$2:$K$7,0),F416,E416,J416,K416,L416,G416)=Find!$C$5,MAX(S$4:S415)+1,""))</f>
        <v/>
      </c>
      <c r="T416" s="17" t="str">
        <f aca="false">IF(A416="","",IF(OR(J416=Manifest!$C$4,K416=Manifest!$C$4),MAX(T$4:T415)+1,""))</f>
        <v/>
      </c>
    </row>
    <row r="417" customFormat="false" ht="15" hidden="false" customHeight="false" outlineLevel="0" collapsed="false">
      <c r="C417" s="14"/>
      <c r="E417" s="14"/>
      <c r="F417" s="14"/>
      <c r="G417" s="14"/>
      <c r="H417" s="14"/>
      <c r="M417" s="12"/>
      <c r="O417" s="15" t="str">
        <f aca="false">IF(OR(M417="",N417=""),"",M417+N417)</f>
        <v/>
      </c>
      <c r="P417" s="16" t="str">
        <f aca="true">IF(O417="","",O417-TODAY())</f>
        <v/>
      </c>
      <c r="Q417" s="17" t="str">
        <f aca="false">IF(A417="","",TRIM(IF(E417="","No owner. ","")&amp;IF(F417="","No storage location. ","")&amp;IF(D417="","Serial missing. ","")&amp;IF(OR(H417="",H417="Undecided"),"No disposition. ","")&amp;IF(AND(H417="Ship",J417="",K417=""),"Shipping but no container/vehicle. ","")&amp;IF(AND(J417&lt;&gt;"",K417&lt;&gt;""),"In both a container and a vehicle. ","")&amp;IF(AND(H417="Ship",L417=""),"No destination. ","")&amp;IF(AND(J417&lt;&gt;"",L417&lt;&gt;"",IFERROR(VLOOKUP(J417,Containers!$A$5:$F$60,6,FALSE()),L417)&lt;&gt;L417),"Destination differs from container. ","")&amp;IF(AND(K417&lt;&gt;"",L417&lt;&gt;"",IFERROR(VLOOKUP(K417,Vehicles!$A$5:$F$60,6,FALSE()),L417)&lt;&gt;L417),"Destination differs from vehicle. ","")&amp;IF(AND(H417="Stay",OR(J417&lt;&gt;"",K417&lt;&gt;"",L417&lt;&gt;"")),"Marked Stay but has a container/vehicle/destination. ","")&amp;IF(G417="Missing","Reported missing. ","")&amp;IF(AND(P417&lt;&gt;"",N(P417)&lt;0),"Service overdue. ","")))</f>
        <v/>
      </c>
      <c r="S417" s="17" t="str">
        <f aca="false">IF(A417="","",IF(CHOOSE(MATCH(Find!$C$4,Lists!$K$2:$K$7,0),F417,E417,J417,K417,L417,G417)=Find!$C$5,MAX(S$4:S416)+1,""))</f>
        <v/>
      </c>
      <c r="T417" s="17" t="str">
        <f aca="false">IF(A417="","",IF(OR(J417=Manifest!$C$4,K417=Manifest!$C$4),MAX(T$4:T416)+1,""))</f>
        <v/>
      </c>
    </row>
    <row r="418" customFormat="false" ht="15" hidden="false" customHeight="false" outlineLevel="0" collapsed="false">
      <c r="C418" s="14"/>
      <c r="E418" s="14"/>
      <c r="F418" s="14"/>
      <c r="G418" s="14"/>
      <c r="H418" s="14"/>
      <c r="M418" s="12"/>
      <c r="O418" s="15" t="str">
        <f aca="false">IF(OR(M418="",N418=""),"",M418+N418)</f>
        <v/>
      </c>
      <c r="P418" s="16" t="str">
        <f aca="true">IF(O418="","",O418-TODAY())</f>
        <v/>
      </c>
      <c r="Q418" s="17" t="str">
        <f aca="false">IF(A418="","",TRIM(IF(E418="","No owner. ","")&amp;IF(F418="","No storage location. ","")&amp;IF(D418="","Serial missing. ","")&amp;IF(OR(H418="",H418="Undecided"),"No disposition. ","")&amp;IF(AND(H418="Ship",J418="",K418=""),"Shipping but no container/vehicle. ","")&amp;IF(AND(J418&lt;&gt;"",K418&lt;&gt;""),"In both a container and a vehicle. ","")&amp;IF(AND(H418="Ship",L418=""),"No destination. ","")&amp;IF(AND(J418&lt;&gt;"",L418&lt;&gt;"",IFERROR(VLOOKUP(J418,Containers!$A$5:$F$60,6,FALSE()),L418)&lt;&gt;L418),"Destination differs from container. ","")&amp;IF(AND(K418&lt;&gt;"",L418&lt;&gt;"",IFERROR(VLOOKUP(K418,Vehicles!$A$5:$F$60,6,FALSE()),L418)&lt;&gt;L418),"Destination differs from vehicle. ","")&amp;IF(AND(H418="Stay",OR(J418&lt;&gt;"",K418&lt;&gt;"",L418&lt;&gt;"")),"Marked Stay but has a container/vehicle/destination. ","")&amp;IF(G418="Missing","Reported missing. ","")&amp;IF(AND(P418&lt;&gt;"",N(P418)&lt;0),"Service overdue. ","")))</f>
        <v/>
      </c>
      <c r="S418" s="17" t="str">
        <f aca="false">IF(A418="","",IF(CHOOSE(MATCH(Find!$C$4,Lists!$K$2:$K$7,0),F418,E418,J418,K418,L418,G418)=Find!$C$5,MAX(S$4:S417)+1,""))</f>
        <v/>
      </c>
      <c r="T418" s="17" t="str">
        <f aca="false">IF(A418="","",IF(OR(J418=Manifest!$C$4,K418=Manifest!$C$4),MAX(T$4:T417)+1,""))</f>
        <v/>
      </c>
    </row>
    <row r="419" customFormat="false" ht="15" hidden="false" customHeight="false" outlineLevel="0" collapsed="false">
      <c r="C419" s="14"/>
      <c r="E419" s="14"/>
      <c r="F419" s="14"/>
      <c r="G419" s="14"/>
      <c r="H419" s="14"/>
      <c r="M419" s="12"/>
      <c r="O419" s="15" t="str">
        <f aca="false">IF(OR(M419="",N419=""),"",M419+N419)</f>
        <v/>
      </c>
      <c r="P419" s="16" t="str">
        <f aca="true">IF(O419="","",O419-TODAY())</f>
        <v/>
      </c>
      <c r="Q419" s="17" t="str">
        <f aca="false">IF(A419="","",TRIM(IF(E419="","No owner. ","")&amp;IF(F419="","No storage location. ","")&amp;IF(D419="","Serial missing. ","")&amp;IF(OR(H419="",H419="Undecided"),"No disposition. ","")&amp;IF(AND(H419="Ship",J419="",K419=""),"Shipping but no container/vehicle. ","")&amp;IF(AND(J419&lt;&gt;"",K419&lt;&gt;""),"In both a container and a vehicle. ","")&amp;IF(AND(H419="Ship",L419=""),"No destination. ","")&amp;IF(AND(J419&lt;&gt;"",L419&lt;&gt;"",IFERROR(VLOOKUP(J419,Containers!$A$5:$F$60,6,FALSE()),L419)&lt;&gt;L419),"Destination differs from container. ","")&amp;IF(AND(K419&lt;&gt;"",L419&lt;&gt;"",IFERROR(VLOOKUP(K419,Vehicles!$A$5:$F$60,6,FALSE()),L419)&lt;&gt;L419),"Destination differs from vehicle. ","")&amp;IF(AND(H419="Stay",OR(J419&lt;&gt;"",K419&lt;&gt;"",L419&lt;&gt;"")),"Marked Stay but has a container/vehicle/destination. ","")&amp;IF(G419="Missing","Reported missing. ","")&amp;IF(AND(P419&lt;&gt;"",N(P419)&lt;0),"Service overdue. ","")))</f>
        <v/>
      </c>
      <c r="S419" s="17" t="str">
        <f aca="false">IF(A419="","",IF(CHOOSE(MATCH(Find!$C$4,Lists!$K$2:$K$7,0),F419,E419,J419,K419,L419,G419)=Find!$C$5,MAX(S$4:S418)+1,""))</f>
        <v/>
      </c>
      <c r="T419" s="17" t="str">
        <f aca="false">IF(A419="","",IF(OR(J419=Manifest!$C$4,K419=Manifest!$C$4),MAX(T$4:T418)+1,""))</f>
        <v/>
      </c>
    </row>
    <row r="420" customFormat="false" ht="15" hidden="false" customHeight="false" outlineLevel="0" collapsed="false">
      <c r="C420" s="14"/>
      <c r="E420" s="14"/>
      <c r="F420" s="14"/>
      <c r="G420" s="14"/>
      <c r="H420" s="14"/>
      <c r="M420" s="12"/>
      <c r="O420" s="15" t="str">
        <f aca="false">IF(OR(M420="",N420=""),"",M420+N420)</f>
        <v/>
      </c>
      <c r="P420" s="16" t="str">
        <f aca="true">IF(O420="","",O420-TODAY())</f>
        <v/>
      </c>
      <c r="Q420" s="17" t="str">
        <f aca="false">IF(A420="","",TRIM(IF(E420="","No owner. ","")&amp;IF(F420="","No storage location. ","")&amp;IF(D420="","Serial missing. ","")&amp;IF(OR(H420="",H420="Undecided"),"No disposition. ","")&amp;IF(AND(H420="Ship",J420="",K420=""),"Shipping but no container/vehicle. ","")&amp;IF(AND(J420&lt;&gt;"",K420&lt;&gt;""),"In both a container and a vehicle. ","")&amp;IF(AND(H420="Ship",L420=""),"No destination. ","")&amp;IF(AND(J420&lt;&gt;"",L420&lt;&gt;"",IFERROR(VLOOKUP(J420,Containers!$A$5:$F$60,6,FALSE()),L420)&lt;&gt;L420),"Destination differs from container. ","")&amp;IF(AND(K420&lt;&gt;"",L420&lt;&gt;"",IFERROR(VLOOKUP(K420,Vehicles!$A$5:$F$60,6,FALSE()),L420)&lt;&gt;L420),"Destination differs from vehicle. ","")&amp;IF(AND(H420="Stay",OR(J420&lt;&gt;"",K420&lt;&gt;"",L420&lt;&gt;"")),"Marked Stay but has a container/vehicle/destination. ","")&amp;IF(G420="Missing","Reported missing. ","")&amp;IF(AND(P420&lt;&gt;"",N(P420)&lt;0),"Service overdue. ","")))</f>
        <v/>
      </c>
      <c r="S420" s="17" t="str">
        <f aca="false">IF(A420="","",IF(CHOOSE(MATCH(Find!$C$4,Lists!$K$2:$K$7,0),F420,E420,J420,K420,L420,G420)=Find!$C$5,MAX(S$4:S419)+1,""))</f>
        <v/>
      </c>
      <c r="T420" s="17" t="str">
        <f aca="false">IF(A420="","",IF(OR(J420=Manifest!$C$4,K420=Manifest!$C$4),MAX(T$4:T419)+1,""))</f>
        <v/>
      </c>
    </row>
    <row r="421" customFormat="false" ht="15" hidden="false" customHeight="false" outlineLevel="0" collapsed="false">
      <c r="C421" s="14"/>
      <c r="E421" s="14"/>
      <c r="F421" s="14"/>
      <c r="G421" s="14"/>
      <c r="H421" s="14"/>
      <c r="M421" s="12"/>
      <c r="O421" s="15" t="str">
        <f aca="false">IF(OR(M421="",N421=""),"",M421+N421)</f>
        <v/>
      </c>
      <c r="P421" s="16" t="str">
        <f aca="true">IF(O421="","",O421-TODAY())</f>
        <v/>
      </c>
      <c r="Q421" s="17" t="str">
        <f aca="false">IF(A421="","",TRIM(IF(E421="","No owner. ","")&amp;IF(F421="","No storage location. ","")&amp;IF(D421="","Serial missing. ","")&amp;IF(OR(H421="",H421="Undecided"),"No disposition. ","")&amp;IF(AND(H421="Ship",J421="",K421=""),"Shipping but no container/vehicle. ","")&amp;IF(AND(J421&lt;&gt;"",K421&lt;&gt;""),"In both a container and a vehicle. ","")&amp;IF(AND(H421="Ship",L421=""),"No destination. ","")&amp;IF(AND(J421&lt;&gt;"",L421&lt;&gt;"",IFERROR(VLOOKUP(J421,Containers!$A$5:$F$60,6,FALSE()),L421)&lt;&gt;L421),"Destination differs from container. ","")&amp;IF(AND(K421&lt;&gt;"",L421&lt;&gt;"",IFERROR(VLOOKUP(K421,Vehicles!$A$5:$F$60,6,FALSE()),L421)&lt;&gt;L421),"Destination differs from vehicle. ","")&amp;IF(AND(H421="Stay",OR(J421&lt;&gt;"",K421&lt;&gt;"",L421&lt;&gt;"")),"Marked Stay but has a container/vehicle/destination. ","")&amp;IF(G421="Missing","Reported missing. ","")&amp;IF(AND(P421&lt;&gt;"",N(P421)&lt;0),"Service overdue. ","")))</f>
        <v/>
      </c>
      <c r="S421" s="17" t="str">
        <f aca="false">IF(A421="","",IF(CHOOSE(MATCH(Find!$C$4,Lists!$K$2:$K$7,0),F421,E421,J421,K421,L421,G421)=Find!$C$5,MAX(S$4:S420)+1,""))</f>
        <v/>
      </c>
      <c r="T421" s="17" t="str">
        <f aca="false">IF(A421="","",IF(OR(J421=Manifest!$C$4,K421=Manifest!$C$4),MAX(T$4:T420)+1,""))</f>
        <v/>
      </c>
    </row>
    <row r="422" customFormat="false" ht="15" hidden="false" customHeight="false" outlineLevel="0" collapsed="false">
      <c r="C422" s="14"/>
      <c r="E422" s="14"/>
      <c r="F422" s="14"/>
      <c r="G422" s="14"/>
      <c r="H422" s="14"/>
      <c r="M422" s="12"/>
      <c r="O422" s="15" t="str">
        <f aca="false">IF(OR(M422="",N422=""),"",M422+N422)</f>
        <v/>
      </c>
      <c r="P422" s="16" t="str">
        <f aca="true">IF(O422="","",O422-TODAY())</f>
        <v/>
      </c>
      <c r="Q422" s="17" t="str">
        <f aca="false">IF(A422="","",TRIM(IF(E422="","No owner. ","")&amp;IF(F422="","No storage location. ","")&amp;IF(D422="","Serial missing. ","")&amp;IF(OR(H422="",H422="Undecided"),"No disposition. ","")&amp;IF(AND(H422="Ship",J422="",K422=""),"Shipping but no container/vehicle. ","")&amp;IF(AND(J422&lt;&gt;"",K422&lt;&gt;""),"In both a container and a vehicle. ","")&amp;IF(AND(H422="Ship",L422=""),"No destination. ","")&amp;IF(AND(J422&lt;&gt;"",L422&lt;&gt;"",IFERROR(VLOOKUP(J422,Containers!$A$5:$F$60,6,FALSE()),L422)&lt;&gt;L422),"Destination differs from container. ","")&amp;IF(AND(K422&lt;&gt;"",L422&lt;&gt;"",IFERROR(VLOOKUP(K422,Vehicles!$A$5:$F$60,6,FALSE()),L422)&lt;&gt;L422),"Destination differs from vehicle. ","")&amp;IF(AND(H422="Stay",OR(J422&lt;&gt;"",K422&lt;&gt;"",L422&lt;&gt;"")),"Marked Stay but has a container/vehicle/destination. ","")&amp;IF(G422="Missing","Reported missing. ","")&amp;IF(AND(P422&lt;&gt;"",N(P422)&lt;0),"Service overdue. ","")))</f>
        <v/>
      </c>
      <c r="S422" s="17" t="str">
        <f aca="false">IF(A422="","",IF(CHOOSE(MATCH(Find!$C$4,Lists!$K$2:$K$7,0),F422,E422,J422,K422,L422,G422)=Find!$C$5,MAX(S$4:S421)+1,""))</f>
        <v/>
      </c>
      <c r="T422" s="17" t="str">
        <f aca="false">IF(A422="","",IF(OR(J422=Manifest!$C$4,K422=Manifest!$C$4),MAX(T$4:T421)+1,""))</f>
        <v/>
      </c>
    </row>
    <row r="423" customFormat="false" ht="15" hidden="false" customHeight="false" outlineLevel="0" collapsed="false">
      <c r="C423" s="14"/>
      <c r="E423" s="14"/>
      <c r="F423" s="14"/>
      <c r="G423" s="14"/>
      <c r="H423" s="14"/>
      <c r="M423" s="12"/>
      <c r="O423" s="15" t="str">
        <f aca="false">IF(OR(M423="",N423=""),"",M423+N423)</f>
        <v/>
      </c>
      <c r="P423" s="16" t="str">
        <f aca="true">IF(O423="","",O423-TODAY())</f>
        <v/>
      </c>
      <c r="Q423" s="17" t="str">
        <f aca="false">IF(A423="","",TRIM(IF(E423="","No owner. ","")&amp;IF(F423="","No storage location. ","")&amp;IF(D423="","Serial missing. ","")&amp;IF(OR(H423="",H423="Undecided"),"No disposition. ","")&amp;IF(AND(H423="Ship",J423="",K423=""),"Shipping but no container/vehicle. ","")&amp;IF(AND(J423&lt;&gt;"",K423&lt;&gt;""),"In both a container and a vehicle. ","")&amp;IF(AND(H423="Ship",L423=""),"No destination. ","")&amp;IF(AND(J423&lt;&gt;"",L423&lt;&gt;"",IFERROR(VLOOKUP(J423,Containers!$A$5:$F$60,6,FALSE()),L423)&lt;&gt;L423),"Destination differs from container. ","")&amp;IF(AND(K423&lt;&gt;"",L423&lt;&gt;"",IFERROR(VLOOKUP(K423,Vehicles!$A$5:$F$60,6,FALSE()),L423)&lt;&gt;L423),"Destination differs from vehicle. ","")&amp;IF(AND(H423="Stay",OR(J423&lt;&gt;"",K423&lt;&gt;"",L423&lt;&gt;"")),"Marked Stay but has a container/vehicle/destination. ","")&amp;IF(G423="Missing","Reported missing. ","")&amp;IF(AND(P423&lt;&gt;"",N(P423)&lt;0),"Service overdue. ","")))</f>
        <v/>
      </c>
      <c r="S423" s="17" t="str">
        <f aca="false">IF(A423="","",IF(CHOOSE(MATCH(Find!$C$4,Lists!$K$2:$K$7,0),F423,E423,J423,K423,L423,G423)=Find!$C$5,MAX(S$4:S422)+1,""))</f>
        <v/>
      </c>
      <c r="T423" s="17" t="str">
        <f aca="false">IF(A423="","",IF(OR(J423=Manifest!$C$4,K423=Manifest!$C$4),MAX(T$4:T422)+1,""))</f>
        <v/>
      </c>
    </row>
    <row r="424" customFormat="false" ht="15" hidden="false" customHeight="false" outlineLevel="0" collapsed="false">
      <c r="C424" s="14"/>
      <c r="E424" s="14"/>
      <c r="F424" s="14"/>
      <c r="G424" s="14"/>
      <c r="H424" s="14"/>
      <c r="M424" s="12"/>
      <c r="O424" s="15" t="str">
        <f aca="false">IF(OR(M424="",N424=""),"",M424+N424)</f>
        <v/>
      </c>
      <c r="P424" s="16" t="str">
        <f aca="true">IF(O424="","",O424-TODAY())</f>
        <v/>
      </c>
      <c r="Q424" s="17" t="str">
        <f aca="false">IF(A424="","",TRIM(IF(E424="","No owner. ","")&amp;IF(F424="","No storage location. ","")&amp;IF(D424="","Serial missing. ","")&amp;IF(OR(H424="",H424="Undecided"),"No disposition. ","")&amp;IF(AND(H424="Ship",J424="",K424=""),"Shipping but no container/vehicle. ","")&amp;IF(AND(J424&lt;&gt;"",K424&lt;&gt;""),"In both a container and a vehicle. ","")&amp;IF(AND(H424="Ship",L424=""),"No destination. ","")&amp;IF(AND(J424&lt;&gt;"",L424&lt;&gt;"",IFERROR(VLOOKUP(J424,Containers!$A$5:$F$60,6,FALSE()),L424)&lt;&gt;L424),"Destination differs from container. ","")&amp;IF(AND(K424&lt;&gt;"",L424&lt;&gt;"",IFERROR(VLOOKUP(K424,Vehicles!$A$5:$F$60,6,FALSE()),L424)&lt;&gt;L424),"Destination differs from vehicle. ","")&amp;IF(AND(H424="Stay",OR(J424&lt;&gt;"",K424&lt;&gt;"",L424&lt;&gt;"")),"Marked Stay but has a container/vehicle/destination. ","")&amp;IF(G424="Missing","Reported missing. ","")&amp;IF(AND(P424&lt;&gt;"",N(P424)&lt;0),"Service overdue. ","")))</f>
        <v/>
      </c>
      <c r="S424" s="17" t="str">
        <f aca="false">IF(A424="","",IF(CHOOSE(MATCH(Find!$C$4,Lists!$K$2:$K$7,0),F424,E424,J424,K424,L424,G424)=Find!$C$5,MAX(S$4:S423)+1,""))</f>
        <v/>
      </c>
      <c r="T424" s="17" t="str">
        <f aca="false">IF(A424="","",IF(OR(J424=Manifest!$C$4,K424=Manifest!$C$4),MAX(T$4:T423)+1,""))</f>
        <v/>
      </c>
    </row>
    <row r="425" customFormat="false" ht="15" hidden="false" customHeight="false" outlineLevel="0" collapsed="false">
      <c r="C425" s="14"/>
      <c r="E425" s="14"/>
      <c r="F425" s="14"/>
      <c r="G425" s="14"/>
      <c r="H425" s="14"/>
      <c r="M425" s="12"/>
      <c r="O425" s="15" t="str">
        <f aca="false">IF(OR(M425="",N425=""),"",M425+N425)</f>
        <v/>
      </c>
      <c r="P425" s="16" t="str">
        <f aca="true">IF(O425="","",O425-TODAY())</f>
        <v/>
      </c>
      <c r="Q425" s="17" t="str">
        <f aca="false">IF(A425="","",TRIM(IF(E425="","No owner. ","")&amp;IF(F425="","No storage location. ","")&amp;IF(D425="","Serial missing. ","")&amp;IF(OR(H425="",H425="Undecided"),"No disposition. ","")&amp;IF(AND(H425="Ship",J425="",K425=""),"Shipping but no container/vehicle. ","")&amp;IF(AND(J425&lt;&gt;"",K425&lt;&gt;""),"In both a container and a vehicle. ","")&amp;IF(AND(H425="Ship",L425=""),"No destination. ","")&amp;IF(AND(J425&lt;&gt;"",L425&lt;&gt;"",IFERROR(VLOOKUP(J425,Containers!$A$5:$F$60,6,FALSE()),L425)&lt;&gt;L425),"Destination differs from container. ","")&amp;IF(AND(K425&lt;&gt;"",L425&lt;&gt;"",IFERROR(VLOOKUP(K425,Vehicles!$A$5:$F$60,6,FALSE()),L425)&lt;&gt;L425),"Destination differs from vehicle. ","")&amp;IF(AND(H425="Stay",OR(J425&lt;&gt;"",K425&lt;&gt;"",L425&lt;&gt;"")),"Marked Stay but has a container/vehicle/destination. ","")&amp;IF(G425="Missing","Reported missing. ","")&amp;IF(AND(P425&lt;&gt;"",N(P425)&lt;0),"Service overdue. ","")))</f>
        <v/>
      </c>
      <c r="S425" s="17" t="str">
        <f aca="false">IF(A425="","",IF(CHOOSE(MATCH(Find!$C$4,Lists!$K$2:$K$7,0),F425,E425,J425,K425,L425,G425)=Find!$C$5,MAX(S$4:S424)+1,""))</f>
        <v/>
      </c>
      <c r="T425" s="17" t="str">
        <f aca="false">IF(A425="","",IF(OR(J425=Manifest!$C$4,K425=Manifest!$C$4),MAX(T$4:T424)+1,""))</f>
        <v/>
      </c>
    </row>
    <row r="426" customFormat="false" ht="15" hidden="false" customHeight="false" outlineLevel="0" collapsed="false">
      <c r="C426" s="14"/>
      <c r="E426" s="14"/>
      <c r="F426" s="14"/>
      <c r="G426" s="14"/>
      <c r="H426" s="14"/>
      <c r="M426" s="12"/>
      <c r="O426" s="15" t="str">
        <f aca="false">IF(OR(M426="",N426=""),"",M426+N426)</f>
        <v/>
      </c>
      <c r="P426" s="16" t="str">
        <f aca="true">IF(O426="","",O426-TODAY())</f>
        <v/>
      </c>
      <c r="Q426" s="17" t="str">
        <f aca="false">IF(A426="","",TRIM(IF(E426="","No owner. ","")&amp;IF(F426="","No storage location. ","")&amp;IF(D426="","Serial missing. ","")&amp;IF(OR(H426="",H426="Undecided"),"No disposition. ","")&amp;IF(AND(H426="Ship",J426="",K426=""),"Shipping but no container/vehicle. ","")&amp;IF(AND(J426&lt;&gt;"",K426&lt;&gt;""),"In both a container and a vehicle. ","")&amp;IF(AND(H426="Ship",L426=""),"No destination. ","")&amp;IF(AND(J426&lt;&gt;"",L426&lt;&gt;"",IFERROR(VLOOKUP(J426,Containers!$A$5:$F$60,6,FALSE()),L426)&lt;&gt;L426),"Destination differs from container. ","")&amp;IF(AND(K426&lt;&gt;"",L426&lt;&gt;"",IFERROR(VLOOKUP(K426,Vehicles!$A$5:$F$60,6,FALSE()),L426)&lt;&gt;L426),"Destination differs from vehicle. ","")&amp;IF(AND(H426="Stay",OR(J426&lt;&gt;"",K426&lt;&gt;"",L426&lt;&gt;"")),"Marked Stay but has a container/vehicle/destination. ","")&amp;IF(G426="Missing","Reported missing. ","")&amp;IF(AND(P426&lt;&gt;"",N(P426)&lt;0),"Service overdue. ","")))</f>
        <v/>
      </c>
      <c r="S426" s="17" t="str">
        <f aca="false">IF(A426="","",IF(CHOOSE(MATCH(Find!$C$4,Lists!$K$2:$K$7,0),F426,E426,J426,K426,L426,G426)=Find!$C$5,MAX(S$4:S425)+1,""))</f>
        <v/>
      </c>
      <c r="T426" s="17" t="str">
        <f aca="false">IF(A426="","",IF(OR(J426=Manifest!$C$4,K426=Manifest!$C$4),MAX(T$4:T425)+1,""))</f>
        <v/>
      </c>
    </row>
    <row r="427" customFormat="false" ht="15" hidden="false" customHeight="false" outlineLevel="0" collapsed="false">
      <c r="C427" s="14"/>
      <c r="E427" s="14"/>
      <c r="F427" s="14"/>
      <c r="G427" s="14"/>
      <c r="H427" s="14"/>
      <c r="M427" s="12"/>
      <c r="O427" s="15" t="str">
        <f aca="false">IF(OR(M427="",N427=""),"",M427+N427)</f>
        <v/>
      </c>
      <c r="P427" s="16" t="str">
        <f aca="true">IF(O427="","",O427-TODAY())</f>
        <v/>
      </c>
      <c r="Q427" s="17" t="str">
        <f aca="false">IF(A427="","",TRIM(IF(E427="","No owner. ","")&amp;IF(F427="","No storage location. ","")&amp;IF(D427="","Serial missing. ","")&amp;IF(OR(H427="",H427="Undecided"),"No disposition. ","")&amp;IF(AND(H427="Ship",J427="",K427=""),"Shipping but no container/vehicle. ","")&amp;IF(AND(J427&lt;&gt;"",K427&lt;&gt;""),"In both a container and a vehicle. ","")&amp;IF(AND(H427="Ship",L427=""),"No destination. ","")&amp;IF(AND(J427&lt;&gt;"",L427&lt;&gt;"",IFERROR(VLOOKUP(J427,Containers!$A$5:$F$60,6,FALSE()),L427)&lt;&gt;L427),"Destination differs from container. ","")&amp;IF(AND(K427&lt;&gt;"",L427&lt;&gt;"",IFERROR(VLOOKUP(K427,Vehicles!$A$5:$F$60,6,FALSE()),L427)&lt;&gt;L427),"Destination differs from vehicle. ","")&amp;IF(AND(H427="Stay",OR(J427&lt;&gt;"",K427&lt;&gt;"",L427&lt;&gt;"")),"Marked Stay but has a container/vehicle/destination. ","")&amp;IF(G427="Missing","Reported missing. ","")&amp;IF(AND(P427&lt;&gt;"",N(P427)&lt;0),"Service overdue. ","")))</f>
        <v/>
      </c>
      <c r="S427" s="17" t="str">
        <f aca="false">IF(A427="","",IF(CHOOSE(MATCH(Find!$C$4,Lists!$K$2:$K$7,0),F427,E427,J427,K427,L427,G427)=Find!$C$5,MAX(S$4:S426)+1,""))</f>
        <v/>
      </c>
      <c r="T427" s="17" t="str">
        <f aca="false">IF(A427="","",IF(OR(J427=Manifest!$C$4,K427=Manifest!$C$4),MAX(T$4:T426)+1,""))</f>
        <v/>
      </c>
    </row>
    <row r="428" customFormat="false" ht="15" hidden="false" customHeight="false" outlineLevel="0" collapsed="false">
      <c r="C428" s="14"/>
      <c r="E428" s="14"/>
      <c r="F428" s="14"/>
      <c r="G428" s="14"/>
      <c r="H428" s="14"/>
      <c r="M428" s="12"/>
      <c r="O428" s="15" t="str">
        <f aca="false">IF(OR(M428="",N428=""),"",M428+N428)</f>
        <v/>
      </c>
      <c r="P428" s="16" t="str">
        <f aca="true">IF(O428="","",O428-TODAY())</f>
        <v/>
      </c>
      <c r="Q428" s="17" t="str">
        <f aca="false">IF(A428="","",TRIM(IF(E428="","No owner. ","")&amp;IF(F428="","No storage location. ","")&amp;IF(D428="","Serial missing. ","")&amp;IF(OR(H428="",H428="Undecided"),"No disposition. ","")&amp;IF(AND(H428="Ship",J428="",K428=""),"Shipping but no container/vehicle. ","")&amp;IF(AND(J428&lt;&gt;"",K428&lt;&gt;""),"In both a container and a vehicle. ","")&amp;IF(AND(H428="Ship",L428=""),"No destination. ","")&amp;IF(AND(J428&lt;&gt;"",L428&lt;&gt;"",IFERROR(VLOOKUP(J428,Containers!$A$5:$F$60,6,FALSE()),L428)&lt;&gt;L428),"Destination differs from container. ","")&amp;IF(AND(K428&lt;&gt;"",L428&lt;&gt;"",IFERROR(VLOOKUP(K428,Vehicles!$A$5:$F$60,6,FALSE()),L428)&lt;&gt;L428),"Destination differs from vehicle. ","")&amp;IF(AND(H428="Stay",OR(J428&lt;&gt;"",K428&lt;&gt;"",L428&lt;&gt;"")),"Marked Stay but has a container/vehicle/destination. ","")&amp;IF(G428="Missing","Reported missing. ","")&amp;IF(AND(P428&lt;&gt;"",N(P428)&lt;0),"Service overdue. ","")))</f>
        <v/>
      </c>
      <c r="S428" s="17" t="str">
        <f aca="false">IF(A428="","",IF(CHOOSE(MATCH(Find!$C$4,Lists!$K$2:$K$7,0),F428,E428,J428,K428,L428,G428)=Find!$C$5,MAX(S$4:S427)+1,""))</f>
        <v/>
      </c>
      <c r="T428" s="17" t="str">
        <f aca="false">IF(A428="","",IF(OR(J428=Manifest!$C$4,K428=Manifest!$C$4),MAX(T$4:T427)+1,""))</f>
        <v/>
      </c>
    </row>
    <row r="429" customFormat="false" ht="15" hidden="false" customHeight="false" outlineLevel="0" collapsed="false">
      <c r="C429" s="14"/>
      <c r="E429" s="14"/>
      <c r="F429" s="14"/>
      <c r="G429" s="14"/>
      <c r="H429" s="14"/>
      <c r="M429" s="12"/>
      <c r="O429" s="15" t="str">
        <f aca="false">IF(OR(M429="",N429=""),"",M429+N429)</f>
        <v/>
      </c>
      <c r="P429" s="16" t="str">
        <f aca="true">IF(O429="","",O429-TODAY())</f>
        <v/>
      </c>
      <c r="Q429" s="17" t="str">
        <f aca="false">IF(A429="","",TRIM(IF(E429="","No owner. ","")&amp;IF(F429="","No storage location. ","")&amp;IF(D429="","Serial missing. ","")&amp;IF(OR(H429="",H429="Undecided"),"No disposition. ","")&amp;IF(AND(H429="Ship",J429="",K429=""),"Shipping but no container/vehicle. ","")&amp;IF(AND(J429&lt;&gt;"",K429&lt;&gt;""),"In both a container and a vehicle. ","")&amp;IF(AND(H429="Ship",L429=""),"No destination. ","")&amp;IF(AND(J429&lt;&gt;"",L429&lt;&gt;"",IFERROR(VLOOKUP(J429,Containers!$A$5:$F$60,6,FALSE()),L429)&lt;&gt;L429),"Destination differs from container. ","")&amp;IF(AND(K429&lt;&gt;"",L429&lt;&gt;"",IFERROR(VLOOKUP(K429,Vehicles!$A$5:$F$60,6,FALSE()),L429)&lt;&gt;L429),"Destination differs from vehicle. ","")&amp;IF(AND(H429="Stay",OR(J429&lt;&gt;"",K429&lt;&gt;"",L429&lt;&gt;"")),"Marked Stay but has a container/vehicle/destination. ","")&amp;IF(G429="Missing","Reported missing. ","")&amp;IF(AND(P429&lt;&gt;"",N(P429)&lt;0),"Service overdue. ","")))</f>
        <v/>
      </c>
      <c r="S429" s="17" t="str">
        <f aca="false">IF(A429="","",IF(CHOOSE(MATCH(Find!$C$4,Lists!$K$2:$K$7,0),F429,E429,J429,K429,L429,G429)=Find!$C$5,MAX(S$4:S428)+1,""))</f>
        <v/>
      </c>
      <c r="T429" s="17" t="str">
        <f aca="false">IF(A429="","",IF(OR(J429=Manifest!$C$4,K429=Manifest!$C$4),MAX(T$4:T428)+1,""))</f>
        <v/>
      </c>
    </row>
    <row r="430" customFormat="false" ht="15" hidden="false" customHeight="false" outlineLevel="0" collapsed="false">
      <c r="C430" s="14"/>
      <c r="E430" s="14"/>
      <c r="F430" s="14"/>
      <c r="G430" s="14"/>
      <c r="H430" s="14"/>
      <c r="M430" s="12"/>
      <c r="O430" s="15" t="str">
        <f aca="false">IF(OR(M430="",N430=""),"",M430+N430)</f>
        <v/>
      </c>
      <c r="P430" s="16" t="str">
        <f aca="true">IF(O430="","",O430-TODAY())</f>
        <v/>
      </c>
      <c r="Q430" s="17" t="str">
        <f aca="false">IF(A430="","",TRIM(IF(E430="","No owner. ","")&amp;IF(F430="","No storage location. ","")&amp;IF(D430="","Serial missing. ","")&amp;IF(OR(H430="",H430="Undecided"),"No disposition. ","")&amp;IF(AND(H430="Ship",J430="",K430=""),"Shipping but no container/vehicle. ","")&amp;IF(AND(J430&lt;&gt;"",K430&lt;&gt;""),"In both a container and a vehicle. ","")&amp;IF(AND(H430="Ship",L430=""),"No destination. ","")&amp;IF(AND(J430&lt;&gt;"",L430&lt;&gt;"",IFERROR(VLOOKUP(J430,Containers!$A$5:$F$60,6,FALSE()),L430)&lt;&gt;L430),"Destination differs from container. ","")&amp;IF(AND(K430&lt;&gt;"",L430&lt;&gt;"",IFERROR(VLOOKUP(K430,Vehicles!$A$5:$F$60,6,FALSE()),L430)&lt;&gt;L430),"Destination differs from vehicle. ","")&amp;IF(AND(H430="Stay",OR(J430&lt;&gt;"",K430&lt;&gt;"",L430&lt;&gt;"")),"Marked Stay but has a container/vehicle/destination. ","")&amp;IF(G430="Missing","Reported missing. ","")&amp;IF(AND(P430&lt;&gt;"",N(P430)&lt;0),"Service overdue. ","")))</f>
        <v/>
      </c>
      <c r="S430" s="17" t="str">
        <f aca="false">IF(A430="","",IF(CHOOSE(MATCH(Find!$C$4,Lists!$K$2:$K$7,0),F430,E430,J430,K430,L430,G430)=Find!$C$5,MAX(S$4:S429)+1,""))</f>
        <v/>
      </c>
      <c r="T430" s="17" t="str">
        <f aca="false">IF(A430="","",IF(OR(J430=Manifest!$C$4,K430=Manifest!$C$4),MAX(T$4:T429)+1,""))</f>
        <v/>
      </c>
    </row>
    <row r="431" customFormat="false" ht="15" hidden="false" customHeight="false" outlineLevel="0" collapsed="false">
      <c r="C431" s="14"/>
      <c r="E431" s="14"/>
      <c r="F431" s="14"/>
      <c r="G431" s="14"/>
      <c r="H431" s="14"/>
      <c r="M431" s="12"/>
      <c r="O431" s="15" t="str">
        <f aca="false">IF(OR(M431="",N431=""),"",M431+N431)</f>
        <v/>
      </c>
      <c r="P431" s="16" t="str">
        <f aca="true">IF(O431="","",O431-TODAY())</f>
        <v/>
      </c>
      <c r="Q431" s="17" t="str">
        <f aca="false">IF(A431="","",TRIM(IF(E431="","No owner. ","")&amp;IF(F431="","No storage location. ","")&amp;IF(D431="","Serial missing. ","")&amp;IF(OR(H431="",H431="Undecided"),"No disposition. ","")&amp;IF(AND(H431="Ship",J431="",K431=""),"Shipping but no container/vehicle. ","")&amp;IF(AND(J431&lt;&gt;"",K431&lt;&gt;""),"In both a container and a vehicle. ","")&amp;IF(AND(H431="Ship",L431=""),"No destination. ","")&amp;IF(AND(J431&lt;&gt;"",L431&lt;&gt;"",IFERROR(VLOOKUP(J431,Containers!$A$5:$F$60,6,FALSE()),L431)&lt;&gt;L431),"Destination differs from container. ","")&amp;IF(AND(K431&lt;&gt;"",L431&lt;&gt;"",IFERROR(VLOOKUP(K431,Vehicles!$A$5:$F$60,6,FALSE()),L431)&lt;&gt;L431),"Destination differs from vehicle. ","")&amp;IF(AND(H431="Stay",OR(J431&lt;&gt;"",K431&lt;&gt;"",L431&lt;&gt;"")),"Marked Stay but has a container/vehicle/destination. ","")&amp;IF(G431="Missing","Reported missing. ","")&amp;IF(AND(P431&lt;&gt;"",N(P431)&lt;0),"Service overdue. ","")))</f>
        <v/>
      </c>
      <c r="S431" s="17" t="str">
        <f aca="false">IF(A431="","",IF(CHOOSE(MATCH(Find!$C$4,Lists!$K$2:$K$7,0),F431,E431,J431,K431,L431,G431)=Find!$C$5,MAX(S$4:S430)+1,""))</f>
        <v/>
      </c>
      <c r="T431" s="17" t="str">
        <f aca="false">IF(A431="","",IF(OR(J431=Manifest!$C$4,K431=Manifest!$C$4),MAX(T$4:T430)+1,""))</f>
        <v/>
      </c>
    </row>
    <row r="432" customFormat="false" ht="15" hidden="false" customHeight="false" outlineLevel="0" collapsed="false">
      <c r="C432" s="14"/>
      <c r="E432" s="14"/>
      <c r="F432" s="14"/>
      <c r="G432" s="14"/>
      <c r="H432" s="14"/>
      <c r="M432" s="12"/>
      <c r="O432" s="15" t="str">
        <f aca="false">IF(OR(M432="",N432=""),"",M432+N432)</f>
        <v/>
      </c>
      <c r="P432" s="16" t="str">
        <f aca="true">IF(O432="","",O432-TODAY())</f>
        <v/>
      </c>
      <c r="Q432" s="17" t="str">
        <f aca="false">IF(A432="","",TRIM(IF(E432="","No owner. ","")&amp;IF(F432="","No storage location. ","")&amp;IF(D432="","Serial missing. ","")&amp;IF(OR(H432="",H432="Undecided"),"No disposition. ","")&amp;IF(AND(H432="Ship",J432="",K432=""),"Shipping but no container/vehicle. ","")&amp;IF(AND(J432&lt;&gt;"",K432&lt;&gt;""),"In both a container and a vehicle. ","")&amp;IF(AND(H432="Ship",L432=""),"No destination. ","")&amp;IF(AND(J432&lt;&gt;"",L432&lt;&gt;"",IFERROR(VLOOKUP(J432,Containers!$A$5:$F$60,6,FALSE()),L432)&lt;&gt;L432),"Destination differs from container. ","")&amp;IF(AND(K432&lt;&gt;"",L432&lt;&gt;"",IFERROR(VLOOKUP(K432,Vehicles!$A$5:$F$60,6,FALSE()),L432)&lt;&gt;L432),"Destination differs from vehicle. ","")&amp;IF(AND(H432="Stay",OR(J432&lt;&gt;"",K432&lt;&gt;"",L432&lt;&gt;"")),"Marked Stay but has a container/vehicle/destination. ","")&amp;IF(G432="Missing","Reported missing. ","")&amp;IF(AND(P432&lt;&gt;"",N(P432)&lt;0),"Service overdue. ","")))</f>
        <v/>
      </c>
      <c r="S432" s="17" t="str">
        <f aca="false">IF(A432="","",IF(CHOOSE(MATCH(Find!$C$4,Lists!$K$2:$K$7,0),F432,E432,J432,K432,L432,G432)=Find!$C$5,MAX(S$4:S431)+1,""))</f>
        <v/>
      </c>
      <c r="T432" s="17" t="str">
        <f aca="false">IF(A432="","",IF(OR(J432=Manifest!$C$4,K432=Manifest!$C$4),MAX(T$4:T431)+1,""))</f>
        <v/>
      </c>
    </row>
    <row r="433" customFormat="false" ht="15" hidden="false" customHeight="false" outlineLevel="0" collapsed="false">
      <c r="C433" s="14"/>
      <c r="E433" s="14"/>
      <c r="F433" s="14"/>
      <c r="G433" s="14"/>
      <c r="H433" s="14"/>
      <c r="M433" s="12"/>
      <c r="O433" s="15" t="str">
        <f aca="false">IF(OR(M433="",N433=""),"",M433+N433)</f>
        <v/>
      </c>
      <c r="P433" s="16" t="str">
        <f aca="true">IF(O433="","",O433-TODAY())</f>
        <v/>
      </c>
      <c r="Q433" s="17" t="str">
        <f aca="false">IF(A433="","",TRIM(IF(E433="","No owner. ","")&amp;IF(F433="","No storage location. ","")&amp;IF(D433="","Serial missing. ","")&amp;IF(OR(H433="",H433="Undecided"),"No disposition. ","")&amp;IF(AND(H433="Ship",J433="",K433=""),"Shipping but no container/vehicle. ","")&amp;IF(AND(J433&lt;&gt;"",K433&lt;&gt;""),"In both a container and a vehicle. ","")&amp;IF(AND(H433="Ship",L433=""),"No destination. ","")&amp;IF(AND(J433&lt;&gt;"",L433&lt;&gt;"",IFERROR(VLOOKUP(J433,Containers!$A$5:$F$60,6,FALSE()),L433)&lt;&gt;L433),"Destination differs from container. ","")&amp;IF(AND(K433&lt;&gt;"",L433&lt;&gt;"",IFERROR(VLOOKUP(K433,Vehicles!$A$5:$F$60,6,FALSE()),L433)&lt;&gt;L433),"Destination differs from vehicle. ","")&amp;IF(AND(H433="Stay",OR(J433&lt;&gt;"",K433&lt;&gt;"",L433&lt;&gt;"")),"Marked Stay but has a container/vehicle/destination. ","")&amp;IF(G433="Missing","Reported missing. ","")&amp;IF(AND(P433&lt;&gt;"",N(P433)&lt;0),"Service overdue. ","")))</f>
        <v/>
      </c>
      <c r="S433" s="17" t="str">
        <f aca="false">IF(A433="","",IF(CHOOSE(MATCH(Find!$C$4,Lists!$K$2:$K$7,0),F433,E433,J433,K433,L433,G433)=Find!$C$5,MAX(S$4:S432)+1,""))</f>
        <v/>
      </c>
      <c r="T433" s="17" t="str">
        <f aca="false">IF(A433="","",IF(OR(J433=Manifest!$C$4,K433=Manifest!$C$4),MAX(T$4:T432)+1,""))</f>
        <v/>
      </c>
    </row>
    <row r="434" customFormat="false" ht="15" hidden="false" customHeight="false" outlineLevel="0" collapsed="false">
      <c r="C434" s="14"/>
      <c r="E434" s="14"/>
      <c r="F434" s="14"/>
      <c r="G434" s="14"/>
      <c r="H434" s="14"/>
      <c r="M434" s="12"/>
      <c r="O434" s="15" t="str">
        <f aca="false">IF(OR(M434="",N434=""),"",M434+N434)</f>
        <v/>
      </c>
      <c r="P434" s="16" t="str">
        <f aca="true">IF(O434="","",O434-TODAY())</f>
        <v/>
      </c>
      <c r="Q434" s="17" t="str">
        <f aca="false">IF(A434="","",TRIM(IF(E434="","No owner. ","")&amp;IF(F434="","No storage location. ","")&amp;IF(D434="","Serial missing. ","")&amp;IF(OR(H434="",H434="Undecided"),"No disposition. ","")&amp;IF(AND(H434="Ship",J434="",K434=""),"Shipping but no container/vehicle. ","")&amp;IF(AND(J434&lt;&gt;"",K434&lt;&gt;""),"In both a container and a vehicle. ","")&amp;IF(AND(H434="Ship",L434=""),"No destination. ","")&amp;IF(AND(J434&lt;&gt;"",L434&lt;&gt;"",IFERROR(VLOOKUP(J434,Containers!$A$5:$F$60,6,FALSE()),L434)&lt;&gt;L434),"Destination differs from container. ","")&amp;IF(AND(K434&lt;&gt;"",L434&lt;&gt;"",IFERROR(VLOOKUP(K434,Vehicles!$A$5:$F$60,6,FALSE()),L434)&lt;&gt;L434),"Destination differs from vehicle. ","")&amp;IF(AND(H434="Stay",OR(J434&lt;&gt;"",K434&lt;&gt;"",L434&lt;&gt;"")),"Marked Stay but has a container/vehicle/destination. ","")&amp;IF(G434="Missing","Reported missing. ","")&amp;IF(AND(P434&lt;&gt;"",N(P434)&lt;0),"Service overdue. ","")))</f>
        <v/>
      </c>
      <c r="S434" s="17" t="str">
        <f aca="false">IF(A434="","",IF(CHOOSE(MATCH(Find!$C$4,Lists!$K$2:$K$7,0),F434,E434,J434,K434,L434,G434)=Find!$C$5,MAX(S$4:S433)+1,""))</f>
        <v/>
      </c>
      <c r="T434" s="17" t="str">
        <f aca="false">IF(A434="","",IF(OR(J434=Manifest!$C$4,K434=Manifest!$C$4),MAX(T$4:T433)+1,""))</f>
        <v/>
      </c>
    </row>
    <row r="435" customFormat="false" ht="15" hidden="false" customHeight="false" outlineLevel="0" collapsed="false">
      <c r="C435" s="14"/>
      <c r="E435" s="14"/>
      <c r="F435" s="14"/>
      <c r="G435" s="14"/>
      <c r="H435" s="14"/>
      <c r="M435" s="12"/>
      <c r="O435" s="15" t="str">
        <f aca="false">IF(OR(M435="",N435=""),"",M435+N435)</f>
        <v/>
      </c>
      <c r="P435" s="16" t="str">
        <f aca="true">IF(O435="","",O435-TODAY())</f>
        <v/>
      </c>
      <c r="Q435" s="17" t="str">
        <f aca="false">IF(A435="","",TRIM(IF(E435="","No owner. ","")&amp;IF(F435="","No storage location. ","")&amp;IF(D435="","Serial missing. ","")&amp;IF(OR(H435="",H435="Undecided"),"No disposition. ","")&amp;IF(AND(H435="Ship",J435="",K435=""),"Shipping but no container/vehicle. ","")&amp;IF(AND(J435&lt;&gt;"",K435&lt;&gt;""),"In both a container and a vehicle. ","")&amp;IF(AND(H435="Ship",L435=""),"No destination. ","")&amp;IF(AND(J435&lt;&gt;"",L435&lt;&gt;"",IFERROR(VLOOKUP(J435,Containers!$A$5:$F$60,6,FALSE()),L435)&lt;&gt;L435),"Destination differs from container. ","")&amp;IF(AND(K435&lt;&gt;"",L435&lt;&gt;"",IFERROR(VLOOKUP(K435,Vehicles!$A$5:$F$60,6,FALSE()),L435)&lt;&gt;L435),"Destination differs from vehicle. ","")&amp;IF(AND(H435="Stay",OR(J435&lt;&gt;"",K435&lt;&gt;"",L435&lt;&gt;"")),"Marked Stay but has a container/vehicle/destination. ","")&amp;IF(G435="Missing","Reported missing. ","")&amp;IF(AND(P435&lt;&gt;"",N(P435)&lt;0),"Service overdue. ","")))</f>
        <v/>
      </c>
      <c r="S435" s="17" t="str">
        <f aca="false">IF(A435="","",IF(CHOOSE(MATCH(Find!$C$4,Lists!$K$2:$K$7,0),F435,E435,J435,K435,L435,G435)=Find!$C$5,MAX(S$4:S434)+1,""))</f>
        <v/>
      </c>
      <c r="T435" s="17" t="str">
        <f aca="false">IF(A435="","",IF(OR(J435=Manifest!$C$4,K435=Manifest!$C$4),MAX(T$4:T434)+1,""))</f>
        <v/>
      </c>
    </row>
    <row r="436" customFormat="false" ht="15" hidden="false" customHeight="false" outlineLevel="0" collapsed="false">
      <c r="C436" s="14"/>
      <c r="E436" s="14"/>
      <c r="F436" s="14"/>
      <c r="G436" s="14"/>
      <c r="H436" s="14"/>
      <c r="M436" s="12"/>
      <c r="O436" s="15" t="str">
        <f aca="false">IF(OR(M436="",N436=""),"",M436+N436)</f>
        <v/>
      </c>
      <c r="P436" s="16" t="str">
        <f aca="true">IF(O436="","",O436-TODAY())</f>
        <v/>
      </c>
      <c r="Q436" s="17" t="str">
        <f aca="false">IF(A436="","",TRIM(IF(E436="","No owner. ","")&amp;IF(F436="","No storage location. ","")&amp;IF(D436="","Serial missing. ","")&amp;IF(OR(H436="",H436="Undecided"),"No disposition. ","")&amp;IF(AND(H436="Ship",J436="",K436=""),"Shipping but no container/vehicle. ","")&amp;IF(AND(J436&lt;&gt;"",K436&lt;&gt;""),"In both a container and a vehicle. ","")&amp;IF(AND(H436="Ship",L436=""),"No destination. ","")&amp;IF(AND(J436&lt;&gt;"",L436&lt;&gt;"",IFERROR(VLOOKUP(J436,Containers!$A$5:$F$60,6,FALSE()),L436)&lt;&gt;L436),"Destination differs from container. ","")&amp;IF(AND(K436&lt;&gt;"",L436&lt;&gt;"",IFERROR(VLOOKUP(K436,Vehicles!$A$5:$F$60,6,FALSE()),L436)&lt;&gt;L436),"Destination differs from vehicle. ","")&amp;IF(AND(H436="Stay",OR(J436&lt;&gt;"",K436&lt;&gt;"",L436&lt;&gt;"")),"Marked Stay but has a container/vehicle/destination. ","")&amp;IF(G436="Missing","Reported missing. ","")&amp;IF(AND(P436&lt;&gt;"",N(P436)&lt;0),"Service overdue. ","")))</f>
        <v/>
      </c>
      <c r="S436" s="17" t="str">
        <f aca="false">IF(A436="","",IF(CHOOSE(MATCH(Find!$C$4,Lists!$K$2:$K$7,0),F436,E436,J436,K436,L436,G436)=Find!$C$5,MAX(S$4:S435)+1,""))</f>
        <v/>
      </c>
      <c r="T436" s="17" t="str">
        <f aca="false">IF(A436="","",IF(OR(J436=Manifest!$C$4,K436=Manifest!$C$4),MAX(T$4:T435)+1,""))</f>
        <v/>
      </c>
    </row>
    <row r="437" customFormat="false" ht="15" hidden="false" customHeight="false" outlineLevel="0" collapsed="false">
      <c r="C437" s="14"/>
      <c r="E437" s="14"/>
      <c r="F437" s="14"/>
      <c r="G437" s="14"/>
      <c r="H437" s="14"/>
      <c r="M437" s="12"/>
      <c r="O437" s="15" t="str">
        <f aca="false">IF(OR(M437="",N437=""),"",M437+N437)</f>
        <v/>
      </c>
      <c r="P437" s="16" t="str">
        <f aca="true">IF(O437="","",O437-TODAY())</f>
        <v/>
      </c>
      <c r="Q437" s="17" t="str">
        <f aca="false">IF(A437="","",TRIM(IF(E437="","No owner. ","")&amp;IF(F437="","No storage location. ","")&amp;IF(D437="","Serial missing. ","")&amp;IF(OR(H437="",H437="Undecided"),"No disposition. ","")&amp;IF(AND(H437="Ship",J437="",K437=""),"Shipping but no container/vehicle. ","")&amp;IF(AND(J437&lt;&gt;"",K437&lt;&gt;""),"In both a container and a vehicle. ","")&amp;IF(AND(H437="Ship",L437=""),"No destination. ","")&amp;IF(AND(J437&lt;&gt;"",L437&lt;&gt;"",IFERROR(VLOOKUP(J437,Containers!$A$5:$F$60,6,FALSE()),L437)&lt;&gt;L437),"Destination differs from container. ","")&amp;IF(AND(K437&lt;&gt;"",L437&lt;&gt;"",IFERROR(VLOOKUP(K437,Vehicles!$A$5:$F$60,6,FALSE()),L437)&lt;&gt;L437),"Destination differs from vehicle. ","")&amp;IF(AND(H437="Stay",OR(J437&lt;&gt;"",K437&lt;&gt;"",L437&lt;&gt;"")),"Marked Stay but has a container/vehicle/destination. ","")&amp;IF(G437="Missing","Reported missing. ","")&amp;IF(AND(P437&lt;&gt;"",N(P437)&lt;0),"Service overdue. ","")))</f>
        <v/>
      </c>
      <c r="S437" s="17" t="str">
        <f aca="false">IF(A437="","",IF(CHOOSE(MATCH(Find!$C$4,Lists!$K$2:$K$7,0),F437,E437,J437,K437,L437,G437)=Find!$C$5,MAX(S$4:S436)+1,""))</f>
        <v/>
      </c>
      <c r="T437" s="17" t="str">
        <f aca="false">IF(A437="","",IF(OR(J437=Manifest!$C$4,K437=Manifest!$C$4),MAX(T$4:T436)+1,""))</f>
        <v/>
      </c>
    </row>
    <row r="438" customFormat="false" ht="15" hidden="false" customHeight="false" outlineLevel="0" collapsed="false">
      <c r="C438" s="14"/>
      <c r="E438" s="14"/>
      <c r="F438" s="14"/>
      <c r="G438" s="14"/>
      <c r="H438" s="14"/>
      <c r="M438" s="12"/>
      <c r="O438" s="15" t="str">
        <f aca="false">IF(OR(M438="",N438=""),"",M438+N438)</f>
        <v/>
      </c>
      <c r="P438" s="16" t="str">
        <f aca="true">IF(O438="","",O438-TODAY())</f>
        <v/>
      </c>
      <c r="Q438" s="17" t="str">
        <f aca="false">IF(A438="","",TRIM(IF(E438="","No owner. ","")&amp;IF(F438="","No storage location. ","")&amp;IF(D438="","Serial missing. ","")&amp;IF(OR(H438="",H438="Undecided"),"No disposition. ","")&amp;IF(AND(H438="Ship",J438="",K438=""),"Shipping but no container/vehicle. ","")&amp;IF(AND(J438&lt;&gt;"",K438&lt;&gt;""),"In both a container and a vehicle. ","")&amp;IF(AND(H438="Ship",L438=""),"No destination. ","")&amp;IF(AND(J438&lt;&gt;"",L438&lt;&gt;"",IFERROR(VLOOKUP(J438,Containers!$A$5:$F$60,6,FALSE()),L438)&lt;&gt;L438),"Destination differs from container. ","")&amp;IF(AND(K438&lt;&gt;"",L438&lt;&gt;"",IFERROR(VLOOKUP(K438,Vehicles!$A$5:$F$60,6,FALSE()),L438)&lt;&gt;L438),"Destination differs from vehicle. ","")&amp;IF(AND(H438="Stay",OR(J438&lt;&gt;"",K438&lt;&gt;"",L438&lt;&gt;"")),"Marked Stay but has a container/vehicle/destination. ","")&amp;IF(G438="Missing","Reported missing. ","")&amp;IF(AND(P438&lt;&gt;"",N(P438)&lt;0),"Service overdue. ","")))</f>
        <v/>
      </c>
      <c r="S438" s="17" t="str">
        <f aca="false">IF(A438="","",IF(CHOOSE(MATCH(Find!$C$4,Lists!$K$2:$K$7,0),F438,E438,J438,K438,L438,G438)=Find!$C$5,MAX(S$4:S437)+1,""))</f>
        <v/>
      </c>
      <c r="T438" s="17" t="str">
        <f aca="false">IF(A438="","",IF(OR(J438=Manifest!$C$4,K438=Manifest!$C$4),MAX(T$4:T437)+1,""))</f>
        <v/>
      </c>
    </row>
    <row r="439" customFormat="false" ht="15" hidden="false" customHeight="false" outlineLevel="0" collapsed="false">
      <c r="C439" s="14"/>
      <c r="E439" s="14"/>
      <c r="F439" s="14"/>
      <c r="G439" s="14"/>
      <c r="H439" s="14"/>
      <c r="M439" s="12"/>
      <c r="O439" s="15" t="str">
        <f aca="false">IF(OR(M439="",N439=""),"",M439+N439)</f>
        <v/>
      </c>
      <c r="P439" s="16" t="str">
        <f aca="true">IF(O439="","",O439-TODAY())</f>
        <v/>
      </c>
      <c r="Q439" s="17" t="str">
        <f aca="false">IF(A439="","",TRIM(IF(E439="","No owner. ","")&amp;IF(F439="","No storage location. ","")&amp;IF(D439="","Serial missing. ","")&amp;IF(OR(H439="",H439="Undecided"),"No disposition. ","")&amp;IF(AND(H439="Ship",J439="",K439=""),"Shipping but no container/vehicle. ","")&amp;IF(AND(J439&lt;&gt;"",K439&lt;&gt;""),"In both a container and a vehicle. ","")&amp;IF(AND(H439="Ship",L439=""),"No destination. ","")&amp;IF(AND(J439&lt;&gt;"",L439&lt;&gt;"",IFERROR(VLOOKUP(J439,Containers!$A$5:$F$60,6,FALSE()),L439)&lt;&gt;L439),"Destination differs from container. ","")&amp;IF(AND(K439&lt;&gt;"",L439&lt;&gt;"",IFERROR(VLOOKUP(K439,Vehicles!$A$5:$F$60,6,FALSE()),L439)&lt;&gt;L439),"Destination differs from vehicle. ","")&amp;IF(AND(H439="Stay",OR(J439&lt;&gt;"",K439&lt;&gt;"",L439&lt;&gt;"")),"Marked Stay but has a container/vehicle/destination. ","")&amp;IF(G439="Missing","Reported missing. ","")&amp;IF(AND(P439&lt;&gt;"",N(P439)&lt;0),"Service overdue. ","")))</f>
        <v/>
      </c>
      <c r="S439" s="17" t="str">
        <f aca="false">IF(A439="","",IF(CHOOSE(MATCH(Find!$C$4,Lists!$K$2:$K$7,0),F439,E439,J439,K439,L439,G439)=Find!$C$5,MAX(S$4:S438)+1,""))</f>
        <v/>
      </c>
      <c r="T439" s="17" t="str">
        <f aca="false">IF(A439="","",IF(OR(J439=Manifest!$C$4,K439=Manifest!$C$4),MAX(T$4:T438)+1,""))</f>
        <v/>
      </c>
    </row>
    <row r="440" customFormat="false" ht="15" hidden="false" customHeight="false" outlineLevel="0" collapsed="false">
      <c r="C440" s="14"/>
      <c r="E440" s="14"/>
      <c r="F440" s="14"/>
      <c r="G440" s="14"/>
      <c r="H440" s="14"/>
      <c r="M440" s="12"/>
      <c r="O440" s="15" t="str">
        <f aca="false">IF(OR(M440="",N440=""),"",M440+N440)</f>
        <v/>
      </c>
      <c r="P440" s="16" t="str">
        <f aca="true">IF(O440="","",O440-TODAY())</f>
        <v/>
      </c>
      <c r="Q440" s="17" t="str">
        <f aca="false">IF(A440="","",TRIM(IF(E440="","No owner. ","")&amp;IF(F440="","No storage location. ","")&amp;IF(D440="","Serial missing. ","")&amp;IF(OR(H440="",H440="Undecided"),"No disposition. ","")&amp;IF(AND(H440="Ship",J440="",K440=""),"Shipping but no container/vehicle. ","")&amp;IF(AND(J440&lt;&gt;"",K440&lt;&gt;""),"In both a container and a vehicle. ","")&amp;IF(AND(H440="Ship",L440=""),"No destination. ","")&amp;IF(AND(J440&lt;&gt;"",L440&lt;&gt;"",IFERROR(VLOOKUP(J440,Containers!$A$5:$F$60,6,FALSE()),L440)&lt;&gt;L440),"Destination differs from container. ","")&amp;IF(AND(K440&lt;&gt;"",L440&lt;&gt;"",IFERROR(VLOOKUP(K440,Vehicles!$A$5:$F$60,6,FALSE()),L440)&lt;&gt;L440),"Destination differs from vehicle. ","")&amp;IF(AND(H440="Stay",OR(J440&lt;&gt;"",K440&lt;&gt;"",L440&lt;&gt;"")),"Marked Stay but has a container/vehicle/destination. ","")&amp;IF(G440="Missing","Reported missing. ","")&amp;IF(AND(P440&lt;&gt;"",N(P440)&lt;0),"Service overdue. ","")))</f>
        <v/>
      </c>
      <c r="S440" s="17" t="str">
        <f aca="false">IF(A440="","",IF(CHOOSE(MATCH(Find!$C$4,Lists!$K$2:$K$7,0),F440,E440,J440,K440,L440,G440)=Find!$C$5,MAX(S$4:S439)+1,""))</f>
        <v/>
      </c>
      <c r="T440" s="17" t="str">
        <f aca="false">IF(A440="","",IF(OR(J440=Manifest!$C$4,K440=Manifest!$C$4),MAX(T$4:T439)+1,""))</f>
        <v/>
      </c>
    </row>
    <row r="441" customFormat="false" ht="15" hidden="false" customHeight="false" outlineLevel="0" collapsed="false">
      <c r="C441" s="14"/>
      <c r="E441" s="14"/>
      <c r="F441" s="14"/>
      <c r="G441" s="14"/>
      <c r="H441" s="14"/>
      <c r="M441" s="12"/>
      <c r="O441" s="15" t="str">
        <f aca="false">IF(OR(M441="",N441=""),"",M441+N441)</f>
        <v/>
      </c>
      <c r="P441" s="16" t="str">
        <f aca="true">IF(O441="","",O441-TODAY())</f>
        <v/>
      </c>
      <c r="Q441" s="17" t="str">
        <f aca="false">IF(A441="","",TRIM(IF(E441="","No owner. ","")&amp;IF(F441="","No storage location. ","")&amp;IF(D441="","Serial missing. ","")&amp;IF(OR(H441="",H441="Undecided"),"No disposition. ","")&amp;IF(AND(H441="Ship",J441="",K441=""),"Shipping but no container/vehicle. ","")&amp;IF(AND(J441&lt;&gt;"",K441&lt;&gt;""),"In both a container and a vehicle. ","")&amp;IF(AND(H441="Ship",L441=""),"No destination. ","")&amp;IF(AND(J441&lt;&gt;"",L441&lt;&gt;"",IFERROR(VLOOKUP(J441,Containers!$A$5:$F$60,6,FALSE()),L441)&lt;&gt;L441),"Destination differs from container. ","")&amp;IF(AND(K441&lt;&gt;"",L441&lt;&gt;"",IFERROR(VLOOKUP(K441,Vehicles!$A$5:$F$60,6,FALSE()),L441)&lt;&gt;L441),"Destination differs from vehicle. ","")&amp;IF(AND(H441="Stay",OR(J441&lt;&gt;"",K441&lt;&gt;"",L441&lt;&gt;"")),"Marked Stay but has a container/vehicle/destination. ","")&amp;IF(G441="Missing","Reported missing. ","")&amp;IF(AND(P441&lt;&gt;"",N(P441)&lt;0),"Service overdue. ","")))</f>
        <v/>
      </c>
      <c r="S441" s="17" t="str">
        <f aca="false">IF(A441="","",IF(CHOOSE(MATCH(Find!$C$4,Lists!$K$2:$K$7,0),F441,E441,J441,K441,L441,G441)=Find!$C$5,MAX(S$4:S440)+1,""))</f>
        <v/>
      </c>
      <c r="T441" s="17" t="str">
        <f aca="false">IF(A441="","",IF(OR(J441=Manifest!$C$4,K441=Manifest!$C$4),MAX(T$4:T440)+1,""))</f>
        <v/>
      </c>
    </row>
    <row r="442" customFormat="false" ht="15" hidden="false" customHeight="false" outlineLevel="0" collapsed="false">
      <c r="C442" s="14"/>
      <c r="E442" s="14"/>
      <c r="F442" s="14"/>
      <c r="G442" s="14"/>
      <c r="H442" s="14"/>
      <c r="M442" s="12"/>
      <c r="O442" s="15" t="str">
        <f aca="false">IF(OR(M442="",N442=""),"",M442+N442)</f>
        <v/>
      </c>
      <c r="P442" s="16" t="str">
        <f aca="true">IF(O442="","",O442-TODAY())</f>
        <v/>
      </c>
      <c r="Q442" s="17" t="str">
        <f aca="false">IF(A442="","",TRIM(IF(E442="","No owner. ","")&amp;IF(F442="","No storage location. ","")&amp;IF(D442="","Serial missing. ","")&amp;IF(OR(H442="",H442="Undecided"),"No disposition. ","")&amp;IF(AND(H442="Ship",J442="",K442=""),"Shipping but no container/vehicle. ","")&amp;IF(AND(J442&lt;&gt;"",K442&lt;&gt;""),"In both a container and a vehicle. ","")&amp;IF(AND(H442="Ship",L442=""),"No destination. ","")&amp;IF(AND(J442&lt;&gt;"",L442&lt;&gt;"",IFERROR(VLOOKUP(J442,Containers!$A$5:$F$60,6,FALSE()),L442)&lt;&gt;L442),"Destination differs from container. ","")&amp;IF(AND(K442&lt;&gt;"",L442&lt;&gt;"",IFERROR(VLOOKUP(K442,Vehicles!$A$5:$F$60,6,FALSE()),L442)&lt;&gt;L442),"Destination differs from vehicle. ","")&amp;IF(AND(H442="Stay",OR(J442&lt;&gt;"",K442&lt;&gt;"",L442&lt;&gt;"")),"Marked Stay but has a container/vehicle/destination. ","")&amp;IF(G442="Missing","Reported missing. ","")&amp;IF(AND(P442&lt;&gt;"",N(P442)&lt;0),"Service overdue. ","")))</f>
        <v/>
      </c>
      <c r="S442" s="17" t="str">
        <f aca="false">IF(A442="","",IF(CHOOSE(MATCH(Find!$C$4,Lists!$K$2:$K$7,0),F442,E442,J442,K442,L442,G442)=Find!$C$5,MAX(S$4:S441)+1,""))</f>
        <v/>
      </c>
      <c r="T442" s="17" t="str">
        <f aca="false">IF(A442="","",IF(OR(J442=Manifest!$C$4,K442=Manifest!$C$4),MAX(T$4:T441)+1,""))</f>
        <v/>
      </c>
    </row>
    <row r="443" customFormat="false" ht="15" hidden="false" customHeight="false" outlineLevel="0" collapsed="false">
      <c r="C443" s="14"/>
      <c r="E443" s="14"/>
      <c r="F443" s="14"/>
      <c r="G443" s="14"/>
      <c r="H443" s="14"/>
      <c r="M443" s="12"/>
      <c r="O443" s="15" t="str">
        <f aca="false">IF(OR(M443="",N443=""),"",M443+N443)</f>
        <v/>
      </c>
      <c r="P443" s="16" t="str">
        <f aca="true">IF(O443="","",O443-TODAY())</f>
        <v/>
      </c>
      <c r="Q443" s="17" t="str">
        <f aca="false">IF(A443="","",TRIM(IF(E443="","No owner. ","")&amp;IF(F443="","No storage location. ","")&amp;IF(D443="","Serial missing. ","")&amp;IF(OR(H443="",H443="Undecided"),"No disposition. ","")&amp;IF(AND(H443="Ship",J443="",K443=""),"Shipping but no container/vehicle. ","")&amp;IF(AND(J443&lt;&gt;"",K443&lt;&gt;""),"In both a container and a vehicle. ","")&amp;IF(AND(H443="Ship",L443=""),"No destination. ","")&amp;IF(AND(J443&lt;&gt;"",L443&lt;&gt;"",IFERROR(VLOOKUP(J443,Containers!$A$5:$F$60,6,FALSE()),L443)&lt;&gt;L443),"Destination differs from container. ","")&amp;IF(AND(K443&lt;&gt;"",L443&lt;&gt;"",IFERROR(VLOOKUP(K443,Vehicles!$A$5:$F$60,6,FALSE()),L443)&lt;&gt;L443),"Destination differs from vehicle. ","")&amp;IF(AND(H443="Stay",OR(J443&lt;&gt;"",K443&lt;&gt;"",L443&lt;&gt;"")),"Marked Stay but has a container/vehicle/destination. ","")&amp;IF(G443="Missing","Reported missing. ","")&amp;IF(AND(P443&lt;&gt;"",N(P443)&lt;0),"Service overdue. ","")))</f>
        <v/>
      </c>
      <c r="S443" s="17" t="str">
        <f aca="false">IF(A443="","",IF(CHOOSE(MATCH(Find!$C$4,Lists!$K$2:$K$7,0),F443,E443,J443,K443,L443,G443)=Find!$C$5,MAX(S$4:S442)+1,""))</f>
        <v/>
      </c>
      <c r="T443" s="17" t="str">
        <f aca="false">IF(A443="","",IF(OR(J443=Manifest!$C$4,K443=Manifest!$C$4),MAX(T$4:T442)+1,""))</f>
        <v/>
      </c>
    </row>
    <row r="444" customFormat="false" ht="15" hidden="false" customHeight="false" outlineLevel="0" collapsed="false">
      <c r="C444" s="14"/>
      <c r="E444" s="14"/>
      <c r="F444" s="14"/>
      <c r="G444" s="14"/>
      <c r="H444" s="14"/>
      <c r="M444" s="12"/>
      <c r="O444" s="15" t="str">
        <f aca="false">IF(OR(M444="",N444=""),"",M444+N444)</f>
        <v/>
      </c>
      <c r="P444" s="16" t="str">
        <f aca="true">IF(O444="","",O444-TODAY())</f>
        <v/>
      </c>
      <c r="Q444" s="17" t="str">
        <f aca="false">IF(A444="","",TRIM(IF(E444="","No owner. ","")&amp;IF(F444="","No storage location. ","")&amp;IF(D444="","Serial missing. ","")&amp;IF(OR(H444="",H444="Undecided"),"No disposition. ","")&amp;IF(AND(H444="Ship",J444="",K444=""),"Shipping but no container/vehicle. ","")&amp;IF(AND(J444&lt;&gt;"",K444&lt;&gt;""),"In both a container and a vehicle. ","")&amp;IF(AND(H444="Ship",L444=""),"No destination. ","")&amp;IF(AND(J444&lt;&gt;"",L444&lt;&gt;"",IFERROR(VLOOKUP(J444,Containers!$A$5:$F$60,6,FALSE()),L444)&lt;&gt;L444),"Destination differs from container. ","")&amp;IF(AND(K444&lt;&gt;"",L444&lt;&gt;"",IFERROR(VLOOKUP(K444,Vehicles!$A$5:$F$60,6,FALSE()),L444)&lt;&gt;L444),"Destination differs from vehicle. ","")&amp;IF(AND(H444="Stay",OR(J444&lt;&gt;"",K444&lt;&gt;"",L444&lt;&gt;"")),"Marked Stay but has a container/vehicle/destination. ","")&amp;IF(G444="Missing","Reported missing. ","")&amp;IF(AND(P444&lt;&gt;"",N(P444)&lt;0),"Service overdue. ","")))</f>
        <v/>
      </c>
      <c r="S444" s="17" t="str">
        <f aca="false">IF(A444="","",IF(CHOOSE(MATCH(Find!$C$4,Lists!$K$2:$K$7,0),F444,E444,J444,K444,L444,G444)=Find!$C$5,MAX(S$4:S443)+1,""))</f>
        <v/>
      </c>
      <c r="T444" s="17" t="str">
        <f aca="false">IF(A444="","",IF(OR(J444=Manifest!$C$4,K444=Manifest!$C$4),MAX(T$4:T443)+1,""))</f>
        <v/>
      </c>
    </row>
    <row r="445" customFormat="false" ht="15" hidden="false" customHeight="false" outlineLevel="0" collapsed="false">
      <c r="C445" s="14"/>
      <c r="E445" s="14"/>
      <c r="F445" s="14"/>
      <c r="G445" s="14"/>
      <c r="H445" s="14"/>
      <c r="M445" s="12"/>
      <c r="O445" s="15" t="str">
        <f aca="false">IF(OR(M445="",N445=""),"",M445+N445)</f>
        <v/>
      </c>
      <c r="P445" s="16" t="str">
        <f aca="true">IF(O445="","",O445-TODAY())</f>
        <v/>
      </c>
      <c r="Q445" s="17" t="str">
        <f aca="false">IF(A445="","",TRIM(IF(E445="","No owner. ","")&amp;IF(F445="","No storage location. ","")&amp;IF(D445="","Serial missing. ","")&amp;IF(OR(H445="",H445="Undecided"),"No disposition. ","")&amp;IF(AND(H445="Ship",J445="",K445=""),"Shipping but no container/vehicle. ","")&amp;IF(AND(J445&lt;&gt;"",K445&lt;&gt;""),"In both a container and a vehicle. ","")&amp;IF(AND(H445="Ship",L445=""),"No destination. ","")&amp;IF(AND(J445&lt;&gt;"",L445&lt;&gt;"",IFERROR(VLOOKUP(J445,Containers!$A$5:$F$60,6,FALSE()),L445)&lt;&gt;L445),"Destination differs from container. ","")&amp;IF(AND(K445&lt;&gt;"",L445&lt;&gt;"",IFERROR(VLOOKUP(K445,Vehicles!$A$5:$F$60,6,FALSE()),L445)&lt;&gt;L445),"Destination differs from vehicle. ","")&amp;IF(AND(H445="Stay",OR(J445&lt;&gt;"",K445&lt;&gt;"",L445&lt;&gt;"")),"Marked Stay but has a container/vehicle/destination. ","")&amp;IF(G445="Missing","Reported missing. ","")&amp;IF(AND(P445&lt;&gt;"",N(P445)&lt;0),"Service overdue. ","")))</f>
        <v/>
      </c>
      <c r="S445" s="17" t="str">
        <f aca="false">IF(A445="","",IF(CHOOSE(MATCH(Find!$C$4,Lists!$K$2:$K$7,0),F445,E445,J445,K445,L445,G445)=Find!$C$5,MAX(S$4:S444)+1,""))</f>
        <v/>
      </c>
      <c r="T445" s="17" t="str">
        <f aca="false">IF(A445="","",IF(OR(J445=Manifest!$C$4,K445=Manifest!$C$4),MAX(T$4:T444)+1,""))</f>
        <v/>
      </c>
    </row>
    <row r="446" customFormat="false" ht="15" hidden="false" customHeight="false" outlineLevel="0" collapsed="false">
      <c r="C446" s="14"/>
      <c r="E446" s="14"/>
      <c r="F446" s="14"/>
      <c r="G446" s="14"/>
      <c r="H446" s="14"/>
      <c r="M446" s="12"/>
      <c r="O446" s="15" t="str">
        <f aca="false">IF(OR(M446="",N446=""),"",M446+N446)</f>
        <v/>
      </c>
      <c r="P446" s="16" t="str">
        <f aca="true">IF(O446="","",O446-TODAY())</f>
        <v/>
      </c>
      <c r="Q446" s="17" t="str">
        <f aca="false">IF(A446="","",TRIM(IF(E446="","No owner. ","")&amp;IF(F446="","No storage location. ","")&amp;IF(D446="","Serial missing. ","")&amp;IF(OR(H446="",H446="Undecided"),"No disposition. ","")&amp;IF(AND(H446="Ship",J446="",K446=""),"Shipping but no container/vehicle. ","")&amp;IF(AND(J446&lt;&gt;"",K446&lt;&gt;""),"In both a container and a vehicle. ","")&amp;IF(AND(H446="Ship",L446=""),"No destination. ","")&amp;IF(AND(J446&lt;&gt;"",L446&lt;&gt;"",IFERROR(VLOOKUP(J446,Containers!$A$5:$F$60,6,FALSE()),L446)&lt;&gt;L446),"Destination differs from container. ","")&amp;IF(AND(K446&lt;&gt;"",L446&lt;&gt;"",IFERROR(VLOOKUP(K446,Vehicles!$A$5:$F$60,6,FALSE()),L446)&lt;&gt;L446),"Destination differs from vehicle. ","")&amp;IF(AND(H446="Stay",OR(J446&lt;&gt;"",K446&lt;&gt;"",L446&lt;&gt;"")),"Marked Stay but has a container/vehicle/destination. ","")&amp;IF(G446="Missing","Reported missing. ","")&amp;IF(AND(P446&lt;&gt;"",N(P446)&lt;0),"Service overdue. ","")))</f>
        <v/>
      </c>
      <c r="S446" s="17" t="str">
        <f aca="false">IF(A446="","",IF(CHOOSE(MATCH(Find!$C$4,Lists!$K$2:$K$7,0),F446,E446,J446,K446,L446,G446)=Find!$C$5,MAX(S$4:S445)+1,""))</f>
        <v/>
      </c>
      <c r="T446" s="17" t="str">
        <f aca="false">IF(A446="","",IF(OR(J446=Manifest!$C$4,K446=Manifest!$C$4),MAX(T$4:T445)+1,""))</f>
        <v/>
      </c>
    </row>
    <row r="447" customFormat="false" ht="15" hidden="false" customHeight="false" outlineLevel="0" collapsed="false">
      <c r="C447" s="14"/>
      <c r="E447" s="14"/>
      <c r="F447" s="14"/>
      <c r="G447" s="14"/>
      <c r="H447" s="14"/>
      <c r="M447" s="12"/>
      <c r="O447" s="15" t="str">
        <f aca="false">IF(OR(M447="",N447=""),"",M447+N447)</f>
        <v/>
      </c>
      <c r="P447" s="16" t="str">
        <f aca="true">IF(O447="","",O447-TODAY())</f>
        <v/>
      </c>
      <c r="Q447" s="17" t="str">
        <f aca="false">IF(A447="","",TRIM(IF(E447="","No owner. ","")&amp;IF(F447="","No storage location. ","")&amp;IF(D447="","Serial missing. ","")&amp;IF(OR(H447="",H447="Undecided"),"No disposition. ","")&amp;IF(AND(H447="Ship",J447="",K447=""),"Shipping but no container/vehicle. ","")&amp;IF(AND(J447&lt;&gt;"",K447&lt;&gt;""),"In both a container and a vehicle. ","")&amp;IF(AND(H447="Ship",L447=""),"No destination. ","")&amp;IF(AND(J447&lt;&gt;"",L447&lt;&gt;"",IFERROR(VLOOKUP(J447,Containers!$A$5:$F$60,6,FALSE()),L447)&lt;&gt;L447),"Destination differs from container. ","")&amp;IF(AND(K447&lt;&gt;"",L447&lt;&gt;"",IFERROR(VLOOKUP(K447,Vehicles!$A$5:$F$60,6,FALSE()),L447)&lt;&gt;L447),"Destination differs from vehicle. ","")&amp;IF(AND(H447="Stay",OR(J447&lt;&gt;"",K447&lt;&gt;"",L447&lt;&gt;"")),"Marked Stay but has a container/vehicle/destination. ","")&amp;IF(G447="Missing","Reported missing. ","")&amp;IF(AND(P447&lt;&gt;"",N(P447)&lt;0),"Service overdue. ","")))</f>
        <v/>
      </c>
      <c r="S447" s="17" t="str">
        <f aca="false">IF(A447="","",IF(CHOOSE(MATCH(Find!$C$4,Lists!$K$2:$K$7,0),F447,E447,J447,K447,L447,G447)=Find!$C$5,MAX(S$4:S446)+1,""))</f>
        <v/>
      </c>
      <c r="T447" s="17" t="str">
        <f aca="false">IF(A447="","",IF(OR(J447=Manifest!$C$4,K447=Manifest!$C$4),MAX(T$4:T446)+1,""))</f>
        <v/>
      </c>
    </row>
    <row r="448" customFormat="false" ht="15" hidden="false" customHeight="false" outlineLevel="0" collapsed="false">
      <c r="C448" s="14"/>
      <c r="E448" s="14"/>
      <c r="F448" s="14"/>
      <c r="G448" s="14"/>
      <c r="H448" s="14"/>
      <c r="M448" s="12"/>
      <c r="O448" s="15" t="str">
        <f aca="false">IF(OR(M448="",N448=""),"",M448+N448)</f>
        <v/>
      </c>
      <c r="P448" s="16" t="str">
        <f aca="true">IF(O448="","",O448-TODAY())</f>
        <v/>
      </c>
      <c r="Q448" s="17" t="str">
        <f aca="false">IF(A448="","",TRIM(IF(E448="","No owner. ","")&amp;IF(F448="","No storage location. ","")&amp;IF(D448="","Serial missing. ","")&amp;IF(OR(H448="",H448="Undecided"),"No disposition. ","")&amp;IF(AND(H448="Ship",J448="",K448=""),"Shipping but no container/vehicle. ","")&amp;IF(AND(J448&lt;&gt;"",K448&lt;&gt;""),"In both a container and a vehicle. ","")&amp;IF(AND(H448="Ship",L448=""),"No destination. ","")&amp;IF(AND(J448&lt;&gt;"",L448&lt;&gt;"",IFERROR(VLOOKUP(J448,Containers!$A$5:$F$60,6,FALSE()),L448)&lt;&gt;L448),"Destination differs from container. ","")&amp;IF(AND(K448&lt;&gt;"",L448&lt;&gt;"",IFERROR(VLOOKUP(K448,Vehicles!$A$5:$F$60,6,FALSE()),L448)&lt;&gt;L448),"Destination differs from vehicle. ","")&amp;IF(AND(H448="Stay",OR(J448&lt;&gt;"",K448&lt;&gt;"",L448&lt;&gt;"")),"Marked Stay but has a container/vehicle/destination. ","")&amp;IF(G448="Missing","Reported missing. ","")&amp;IF(AND(P448&lt;&gt;"",N(P448)&lt;0),"Service overdue. ","")))</f>
        <v/>
      </c>
      <c r="S448" s="17" t="str">
        <f aca="false">IF(A448="","",IF(CHOOSE(MATCH(Find!$C$4,Lists!$K$2:$K$7,0),F448,E448,J448,K448,L448,G448)=Find!$C$5,MAX(S$4:S447)+1,""))</f>
        <v/>
      </c>
      <c r="T448" s="17" t="str">
        <f aca="false">IF(A448="","",IF(OR(J448=Manifest!$C$4,K448=Manifest!$C$4),MAX(T$4:T447)+1,""))</f>
        <v/>
      </c>
    </row>
    <row r="449" customFormat="false" ht="15" hidden="false" customHeight="false" outlineLevel="0" collapsed="false">
      <c r="C449" s="14"/>
      <c r="E449" s="14"/>
      <c r="F449" s="14"/>
      <c r="G449" s="14"/>
      <c r="H449" s="14"/>
      <c r="M449" s="12"/>
      <c r="O449" s="15" t="str">
        <f aca="false">IF(OR(M449="",N449=""),"",M449+N449)</f>
        <v/>
      </c>
      <c r="P449" s="16" t="str">
        <f aca="true">IF(O449="","",O449-TODAY())</f>
        <v/>
      </c>
      <c r="Q449" s="17" t="str">
        <f aca="false">IF(A449="","",TRIM(IF(E449="","No owner. ","")&amp;IF(F449="","No storage location. ","")&amp;IF(D449="","Serial missing. ","")&amp;IF(OR(H449="",H449="Undecided"),"No disposition. ","")&amp;IF(AND(H449="Ship",J449="",K449=""),"Shipping but no container/vehicle. ","")&amp;IF(AND(J449&lt;&gt;"",K449&lt;&gt;""),"In both a container and a vehicle. ","")&amp;IF(AND(H449="Ship",L449=""),"No destination. ","")&amp;IF(AND(J449&lt;&gt;"",L449&lt;&gt;"",IFERROR(VLOOKUP(J449,Containers!$A$5:$F$60,6,FALSE()),L449)&lt;&gt;L449),"Destination differs from container. ","")&amp;IF(AND(K449&lt;&gt;"",L449&lt;&gt;"",IFERROR(VLOOKUP(K449,Vehicles!$A$5:$F$60,6,FALSE()),L449)&lt;&gt;L449),"Destination differs from vehicle. ","")&amp;IF(AND(H449="Stay",OR(J449&lt;&gt;"",K449&lt;&gt;"",L449&lt;&gt;"")),"Marked Stay but has a container/vehicle/destination. ","")&amp;IF(G449="Missing","Reported missing. ","")&amp;IF(AND(P449&lt;&gt;"",N(P449)&lt;0),"Service overdue. ","")))</f>
        <v/>
      </c>
      <c r="S449" s="17" t="str">
        <f aca="false">IF(A449="","",IF(CHOOSE(MATCH(Find!$C$4,Lists!$K$2:$K$7,0),F449,E449,J449,K449,L449,G449)=Find!$C$5,MAX(S$4:S448)+1,""))</f>
        <v/>
      </c>
      <c r="T449" s="17" t="str">
        <f aca="false">IF(A449="","",IF(OR(J449=Manifest!$C$4,K449=Manifest!$C$4),MAX(T$4:T448)+1,""))</f>
        <v/>
      </c>
    </row>
    <row r="450" customFormat="false" ht="15" hidden="false" customHeight="false" outlineLevel="0" collapsed="false">
      <c r="C450" s="14"/>
      <c r="E450" s="14"/>
      <c r="F450" s="14"/>
      <c r="G450" s="14"/>
      <c r="H450" s="14"/>
      <c r="M450" s="12"/>
      <c r="O450" s="15" t="str">
        <f aca="false">IF(OR(M450="",N450=""),"",M450+N450)</f>
        <v/>
      </c>
      <c r="P450" s="16" t="str">
        <f aca="true">IF(O450="","",O450-TODAY())</f>
        <v/>
      </c>
      <c r="Q450" s="17" t="str">
        <f aca="false">IF(A450="","",TRIM(IF(E450="","No owner. ","")&amp;IF(F450="","No storage location. ","")&amp;IF(D450="","Serial missing. ","")&amp;IF(OR(H450="",H450="Undecided"),"No disposition. ","")&amp;IF(AND(H450="Ship",J450="",K450=""),"Shipping but no container/vehicle. ","")&amp;IF(AND(J450&lt;&gt;"",K450&lt;&gt;""),"In both a container and a vehicle. ","")&amp;IF(AND(H450="Ship",L450=""),"No destination. ","")&amp;IF(AND(J450&lt;&gt;"",L450&lt;&gt;"",IFERROR(VLOOKUP(J450,Containers!$A$5:$F$60,6,FALSE()),L450)&lt;&gt;L450),"Destination differs from container. ","")&amp;IF(AND(K450&lt;&gt;"",L450&lt;&gt;"",IFERROR(VLOOKUP(K450,Vehicles!$A$5:$F$60,6,FALSE()),L450)&lt;&gt;L450),"Destination differs from vehicle. ","")&amp;IF(AND(H450="Stay",OR(J450&lt;&gt;"",K450&lt;&gt;"",L450&lt;&gt;"")),"Marked Stay but has a container/vehicle/destination. ","")&amp;IF(G450="Missing","Reported missing. ","")&amp;IF(AND(P450&lt;&gt;"",N(P450)&lt;0),"Service overdue. ","")))</f>
        <v/>
      </c>
      <c r="S450" s="17" t="str">
        <f aca="false">IF(A450="","",IF(CHOOSE(MATCH(Find!$C$4,Lists!$K$2:$K$7,0),F450,E450,J450,K450,L450,G450)=Find!$C$5,MAX(S$4:S449)+1,""))</f>
        <v/>
      </c>
      <c r="T450" s="17" t="str">
        <f aca="false">IF(A450="","",IF(OR(J450=Manifest!$C$4,K450=Manifest!$C$4),MAX(T$4:T449)+1,""))</f>
        <v/>
      </c>
    </row>
    <row r="451" customFormat="false" ht="15" hidden="false" customHeight="false" outlineLevel="0" collapsed="false">
      <c r="C451" s="14"/>
      <c r="E451" s="14"/>
      <c r="F451" s="14"/>
      <c r="G451" s="14"/>
      <c r="H451" s="14"/>
      <c r="M451" s="12"/>
      <c r="O451" s="15" t="str">
        <f aca="false">IF(OR(M451="",N451=""),"",M451+N451)</f>
        <v/>
      </c>
      <c r="P451" s="16" t="str">
        <f aca="true">IF(O451="","",O451-TODAY())</f>
        <v/>
      </c>
      <c r="Q451" s="17" t="str">
        <f aca="false">IF(A451="","",TRIM(IF(E451="","No owner. ","")&amp;IF(F451="","No storage location. ","")&amp;IF(D451="","Serial missing. ","")&amp;IF(OR(H451="",H451="Undecided"),"No disposition. ","")&amp;IF(AND(H451="Ship",J451="",K451=""),"Shipping but no container/vehicle. ","")&amp;IF(AND(J451&lt;&gt;"",K451&lt;&gt;""),"In both a container and a vehicle. ","")&amp;IF(AND(H451="Ship",L451=""),"No destination. ","")&amp;IF(AND(J451&lt;&gt;"",L451&lt;&gt;"",IFERROR(VLOOKUP(J451,Containers!$A$5:$F$60,6,FALSE()),L451)&lt;&gt;L451),"Destination differs from container. ","")&amp;IF(AND(K451&lt;&gt;"",L451&lt;&gt;"",IFERROR(VLOOKUP(K451,Vehicles!$A$5:$F$60,6,FALSE()),L451)&lt;&gt;L451),"Destination differs from vehicle. ","")&amp;IF(AND(H451="Stay",OR(J451&lt;&gt;"",K451&lt;&gt;"",L451&lt;&gt;"")),"Marked Stay but has a container/vehicle/destination. ","")&amp;IF(G451="Missing","Reported missing. ","")&amp;IF(AND(P451&lt;&gt;"",N(P451)&lt;0),"Service overdue. ","")))</f>
        <v/>
      </c>
      <c r="S451" s="17" t="str">
        <f aca="false">IF(A451="","",IF(CHOOSE(MATCH(Find!$C$4,Lists!$K$2:$K$7,0),F451,E451,J451,K451,L451,G451)=Find!$C$5,MAX(S$4:S450)+1,""))</f>
        <v/>
      </c>
      <c r="T451" s="17" t="str">
        <f aca="false">IF(A451="","",IF(OR(J451=Manifest!$C$4,K451=Manifest!$C$4),MAX(T$4:T450)+1,""))</f>
        <v/>
      </c>
    </row>
    <row r="452" customFormat="false" ht="15" hidden="false" customHeight="false" outlineLevel="0" collapsed="false">
      <c r="C452" s="14"/>
      <c r="E452" s="14"/>
      <c r="F452" s="14"/>
      <c r="G452" s="14"/>
      <c r="H452" s="14"/>
      <c r="M452" s="12"/>
      <c r="O452" s="15" t="str">
        <f aca="false">IF(OR(M452="",N452=""),"",M452+N452)</f>
        <v/>
      </c>
      <c r="P452" s="16" t="str">
        <f aca="true">IF(O452="","",O452-TODAY())</f>
        <v/>
      </c>
      <c r="Q452" s="17" t="str">
        <f aca="false">IF(A452="","",TRIM(IF(E452="","No owner. ","")&amp;IF(F452="","No storage location. ","")&amp;IF(D452="","Serial missing. ","")&amp;IF(OR(H452="",H452="Undecided"),"No disposition. ","")&amp;IF(AND(H452="Ship",J452="",K452=""),"Shipping but no container/vehicle. ","")&amp;IF(AND(J452&lt;&gt;"",K452&lt;&gt;""),"In both a container and a vehicle. ","")&amp;IF(AND(H452="Ship",L452=""),"No destination. ","")&amp;IF(AND(J452&lt;&gt;"",L452&lt;&gt;"",IFERROR(VLOOKUP(J452,Containers!$A$5:$F$60,6,FALSE()),L452)&lt;&gt;L452),"Destination differs from container. ","")&amp;IF(AND(K452&lt;&gt;"",L452&lt;&gt;"",IFERROR(VLOOKUP(K452,Vehicles!$A$5:$F$60,6,FALSE()),L452)&lt;&gt;L452),"Destination differs from vehicle. ","")&amp;IF(AND(H452="Stay",OR(J452&lt;&gt;"",K452&lt;&gt;"",L452&lt;&gt;"")),"Marked Stay but has a container/vehicle/destination. ","")&amp;IF(G452="Missing","Reported missing. ","")&amp;IF(AND(P452&lt;&gt;"",N(P452)&lt;0),"Service overdue. ","")))</f>
        <v/>
      </c>
      <c r="S452" s="17" t="str">
        <f aca="false">IF(A452="","",IF(CHOOSE(MATCH(Find!$C$4,Lists!$K$2:$K$7,0),F452,E452,J452,K452,L452,G452)=Find!$C$5,MAX(S$4:S451)+1,""))</f>
        <v/>
      </c>
      <c r="T452" s="17" t="str">
        <f aca="false">IF(A452="","",IF(OR(J452=Manifest!$C$4,K452=Manifest!$C$4),MAX(T$4:T451)+1,""))</f>
        <v/>
      </c>
    </row>
    <row r="453" customFormat="false" ht="15" hidden="false" customHeight="false" outlineLevel="0" collapsed="false">
      <c r="C453" s="14"/>
      <c r="E453" s="14"/>
      <c r="F453" s="14"/>
      <c r="G453" s="14"/>
      <c r="H453" s="14"/>
      <c r="M453" s="12"/>
      <c r="O453" s="15" t="str">
        <f aca="false">IF(OR(M453="",N453=""),"",M453+N453)</f>
        <v/>
      </c>
      <c r="P453" s="16" t="str">
        <f aca="true">IF(O453="","",O453-TODAY())</f>
        <v/>
      </c>
      <c r="Q453" s="17" t="str">
        <f aca="false">IF(A453="","",TRIM(IF(E453="","No owner. ","")&amp;IF(F453="","No storage location. ","")&amp;IF(D453="","Serial missing. ","")&amp;IF(OR(H453="",H453="Undecided"),"No disposition. ","")&amp;IF(AND(H453="Ship",J453="",K453=""),"Shipping but no container/vehicle. ","")&amp;IF(AND(J453&lt;&gt;"",K453&lt;&gt;""),"In both a container and a vehicle. ","")&amp;IF(AND(H453="Ship",L453=""),"No destination. ","")&amp;IF(AND(J453&lt;&gt;"",L453&lt;&gt;"",IFERROR(VLOOKUP(J453,Containers!$A$5:$F$60,6,FALSE()),L453)&lt;&gt;L453),"Destination differs from container. ","")&amp;IF(AND(K453&lt;&gt;"",L453&lt;&gt;"",IFERROR(VLOOKUP(K453,Vehicles!$A$5:$F$60,6,FALSE()),L453)&lt;&gt;L453),"Destination differs from vehicle. ","")&amp;IF(AND(H453="Stay",OR(J453&lt;&gt;"",K453&lt;&gt;"",L453&lt;&gt;"")),"Marked Stay but has a container/vehicle/destination. ","")&amp;IF(G453="Missing","Reported missing. ","")&amp;IF(AND(P453&lt;&gt;"",N(P453)&lt;0),"Service overdue. ","")))</f>
        <v/>
      </c>
      <c r="S453" s="17" t="str">
        <f aca="false">IF(A453="","",IF(CHOOSE(MATCH(Find!$C$4,Lists!$K$2:$K$7,0),F453,E453,J453,K453,L453,G453)=Find!$C$5,MAX(S$4:S452)+1,""))</f>
        <v/>
      </c>
      <c r="T453" s="17" t="str">
        <f aca="false">IF(A453="","",IF(OR(J453=Manifest!$C$4,K453=Manifest!$C$4),MAX(T$4:T452)+1,""))</f>
        <v/>
      </c>
    </row>
    <row r="454" customFormat="false" ht="15" hidden="false" customHeight="false" outlineLevel="0" collapsed="false">
      <c r="C454" s="14"/>
      <c r="E454" s="14"/>
      <c r="F454" s="14"/>
      <c r="G454" s="14"/>
      <c r="H454" s="14"/>
      <c r="M454" s="12"/>
      <c r="O454" s="15" t="str">
        <f aca="false">IF(OR(M454="",N454=""),"",M454+N454)</f>
        <v/>
      </c>
      <c r="P454" s="16" t="str">
        <f aca="true">IF(O454="","",O454-TODAY())</f>
        <v/>
      </c>
      <c r="Q454" s="17" t="str">
        <f aca="false">IF(A454="","",TRIM(IF(E454="","No owner. ","")&amp;IF(F454="","No storage location. ","")&amp;IF(D454="","Serial missing. ","")&amp;IF(OR(H454="",H454="Undecided"),"No disposition. ","")&amp;IF(AND(H454="Ship",J454="",K454=""),"Shipping but no container/vehicle. ","")&amp;IF(AND(J454&lt;&gt;"",K454&lt;&gt;""),"In both a container and a vehicle. ","")&amp;IF(AND(H454="Ship",L454=""),"No destination. ","")&amp;IF(AND(J454&lt;&gt;"",L454&lt;&gt;"",IFERROR(VLOOKUP(J454,Containers!$A$5:$F$60,6,FALSE()),L454)&lt;&gt;L454),"Destination differs from container. ","")&amp;IF(AND(K454&lt;&gt;"",L454&lt;&gt;"",IFERROR(VLOOKUP(K454,Vehicles!$A$5:$F$60,6,FALSE()),L454)&lt;&gt;L454),"Destination differs from vehicle. ","")&amp;IF(AND(H454="Stay",OR(J454&lt;&gt;"",K454&lt;&gt;"",L454&lt;&gt;"")),"Marked Stay but has a container/vehicle/destination. ","")&amp;IF(G454="Missing","Reported missing. ","")&amp;IF(AND(P454&lt;&gt;"",N(P454)&lt;0),"Service overdue. ","")))</f>
        <v/>
      </c>
      <c r="S454" s="17" t="str">
        <f aca="false">IF(A454="","",IF(CHOOSE(MATCH(Find!$C$4,Lists!$K$2:$K$7,0),F454,E454,J454,K454,L454,G454)=Find!$C$5,MAX(S$4:S453)+1,""))</f>
        <v/>
      </c>
      <c r="T454" s="17" t="str">
        <f aca="false">IF(A454="","",IF(OR(J454=Manifest!$C$4,K454=Manifest!$C$4),MAX(T$4:T453)+1,""))</f>
        <v/>
      </c>
    </row>
    <row r="455" customFormat="false" ht="15" hidden="false" customHeight="false" outlineLevel="0" collapsed="false">
      <c r="C455" s="14"/>
      <c r="E455" s="14"/>
      <c r="F455" s="14"/>
      <c r="G455" s="14"/>
      <c r="H455" s="14"/>
      <c r="M455" s="12"/>
      <c r="O455" s="15" t="str">
        <f aca="false">IF(OR(M455="",N455=""),"",M455+N455)</f>
        <v/>
      </c>
      <c r="P455" s="16" t="str">
        <f aca="true">IF(O455="","",O455-TODAY())</f>
        <v/>
      </c>
      <c r="Q455" s="17" t="str">
        <f aca="false">IF(A455="","",TRIM(IF(E455="","No owner. ","")&amp;IF(F455="","No storage location. ","")&amp;IF(D455="","Serial missing. ","")&amp;IF(OR(H455="",H455="Undecided"),"No disposition. ","")&amp;IF(AND(H455="Ship",J455="",K455=""),"Shipping but no container/vehicle. ","")&amp;IF(AND(J455&lt;&gt;"",K455&lt;&gt;""),"In both a container and a vehicle. ","")&amp;IF(AND(H455="Ship",L455=""),"No destination. ","")&amp;IF(AND(J455&lt;&gt;"",L455&lt;&gt;"",IFERROR(VLOOKUP(J455,Containers!$A$5:$F$60,6,FALSE()),L455)&lt;&gt;L455),"Destination differs from container. ","")&amp;IF(AND(K455&lt;&gt;"",L455&lt;&gt;"",IFERROR(VLOOKUP(K455,Vehicles!$A$5:$F$60,6,FALSE()),L455)&lt;&gt;L455),"Destination differs from vehicle. ","")&amp;IF(AND(H455="Stay",OR(J455&lt;&gt;"",K455&lt;&gt;"",L455&lt;&gt;"")),"Marked Stay but has a container/vehicle/destination. ","")&amp;IF(G455="Missing","Reported missing. ","")&amp;IF(AND(P455&lt;&gt;"",N(P455)&lt;0),"Service overdue. ","")))</f>
        <v/>
      </c>
      <c r="S455" s="17" t="str">
        <f aca="false">IF(A455="","",IF(CHOOSE(MATCH(Find!$C$4,Lists!$K$2:$K$7,0),F455,E455,J455,K455,L455,G455)=Find!$C$5,MAX(S$4:S454)+1,""))</f>
        <v/>
      </c>
      <c r="T455" s="17" t="str">
        <f aca="false">IF(A455="","",IF(OR(J455=Manifest!$C$4,K455=Manifest!$C$4),MAX(T$4:T454)+1,""))</f>
        <v/>
      </c>
    </row>
    <row r="456" customFormat="false" ht="15" hidden="false" customHeight="false" outlineLevel="0" collapsed="false">
      <c r="C456" s="14"/>
      <c r="E456" s="14"/>
      <c r="F456" s="14"/>
      <c r="G456" s="14"/>
      <c r="H456" s="14"/>
      <c r="M456" s="12"/>
      <c r="O456" s="15" t="str">
        <f aca="false">IF(OR(M456="",N456=""),"",M456+N456)</f>
        <v/>
      </c>
      <c r="P456" s="16" t="str">
        <f aca="true">IF(O456="","",O456-TODAY())</f>
        <v/>
      </c>
      <c r="Q456" s="17" t="str">
        <f aca="false">IF(A456="","",TRIM(IF(E456="","No owner. ","")&amp;IF(F456="","No storage location. ","")&amp;IF(D456="","Serial missing. ","")&amp;IF(OR(H456="",H456="Undecided"),"No disposition. ","")&amp;IF(AND(H456="Ship",J456="",K456=""),"Shipping but no container/vehicle. ","")&amp;IF(AND(J456&lt;&gt;"",K456&lt;&gt;""),"In both a container and a vehicle. ","")&amp;IF(AND(H456="Ship",L456=""),"No destination. ","")&amp;IF(AND(J456&lt;&gt;"",L456&lt;&gt;"",IFERROR(VLOOKUP(J456,Containers!$A$5:$F$60,6,FALSE()),L456)&lt;&gt;L456),"Destination differs from container. ","")&amp;IF(AND(K456&lt;&gt;"",L456&lt;&gt;"",IFERROR(VLOOKUP(K456,Vehicles!$A$5:$F$60,6,FALSE()),L456)&lt;&gt;L456),"Destination differs from vehicle. ","")&amp;IF(AND(H456="Stay",OR(J456&lt;&gt;"",K456&lt;&gt;"",L456&lt;&gt;"")),"Marked Stay but has a container/vehicle/destination. ","")&amp;IF(G456="Missing","Reported missing. ","")&amp;IF(AND(P456&lt;&gt;"",N(P456)&lt;0),"Service overdue. ","")))</f>
        <v/>
      </c>
      <c r="S456" s="17" t="str">
        <f aca="false">IF(A456="","",IF(CHOOSE(MATCH(Find!$C$4,Lists!$K$2:$K$7,0),F456,E456,J456,K456,L456,G456)=Find!$C$5,MAX(S$4:S455)+1,""))</f>
        <v/>
      </c>
      <c r="T456" s="17" t="str">
        <f aca="false">IF(A456="","",IF(OR(J456=Manifest!$C$4,K456=Manifest!$C$4),MAX(T$4:T455)+1,""))</f>
        <v/>
      </c>
    </row>
    <row r="457" customFormat="false" ht="15" hidden="false" customHeight="false" outlineLevel="0" collapsed="false">
      <c r="C457" s="14"/>
      <c r="E457" s="14"/>
      <c r="F457" s="14"/>
      <c r="G457" s="14"/>
      <c r="H457" s="14"/>
      <c r="M457" s="12"/>
      <c r="O457" s="15" t="str">
        <f aca="false">IF(OR(M457="",N457=""),"",M457+N457)</f>
        <v/>
      </c>
      <c r="P457" s="16" t="str">
        <f aca="true">IF(O457="","",O457-TODAY())</f>
        <v/>
      </c>
      <c r="Q457" s="17" t="str">
        <f aca="false">IF(A457="","",TRIM(IF(E457="","No owner. ","")&amp;IF(F457="","No storage location. ","")&amp;IF(D457="","Serial missing. ","")&amp;IF(OR(H457="",H457="Undecided"),"No disposition. ","")&amp;IF(AND(H457="Ship",J457="",K457=""),"Shipping but no container/vehicle. ","")&amp;IF(AND(J457&lt;&gt;"",K457&lt;&gt;""),"In both a container and a vehicle. ","")&amp;IF(AND(H457="Ship",L457=""),"No destination. ","")&amp;IF(AND(J457&lt;&gt;"",L457&lt;&gt;"",IFERROR(VLOOKUP(J457,Containers!$A$5:$F$60,6,FALSE()),L457)&lt;&gt;L457),"Destination differs from container. ","")&amp;IF(AND(K457&lt;&gt;"",L457&lt;&gt;"",IFERROR(VLOOKUP(K457,Vehicles!$A$5:$F$60,6,FALSE()),L457)&lt;&gt;L457),"Destination differs from vehicle. ","")&amp;IF(AND(H457="Stay",OR(J457&lt;&gt;"",K457&lt;&gt;"",L457&lt;&gt;"")),"Marked Stay but has a container/vehicle/destination. ","")&amp;IF(G457="Missing","Reported missing. ","")&amp;IF(AND(P457&lt;&gt;"",N(P457)&lt;0),"Service overdue. ","")))</f>
        <v/>
      </c>
      <c r="S457" s="17" t="str">
        <f aca="false">IF(A457="","",IF(CHOOSE(MATCH(Find!$C$4,Lists!$K$2:$K$7,0),F457,E457,J457,K457,L457,G457)=Find!$C$5,MAX(S$4:S456)+1,""))</f>
        <v/>
      </c>
      <c r="T457" s="17" t="str">
        <f aca="false">IF(A457="","",IF(OR(J457=Manifest!$C$4,K457=Manifest!$C$4),MAX(T$4:T456)+1,""))</f>
        <v/>
      </c>
    </row>
    <row r="458" customFormat="false" ht="15" hidden="false" customHeight="false" outlineLevel="0" collapsed="false">
      <c r="C458" s="14"/>
      <c r="E458" s="14"/>
      <c r="F458" s="14"/>
      <c r="G458" s="14"/>
      <c r="H458" s="14"/>
      <c r="M458" s="12"/>
      <c r="O458" s="15" t="str">
        <f aca="false">IF(OR(M458="",N458=""),"",M458+N458)</f>
        <v/>
      </c>
      <c r="P458" s="16" t="str">
        <f aca="true">IF(O458="","",O458-TODAY())</f>
        <v/>
      </c>
      <c r="Q458" s="17" t="str">
        <f aca="false">IF(A458="","",TRIM(IF(E458="","No owner. ","")&amp;IF(F458="","No storage location. ","")&amp;IF(D458="","Serial missing. ","")&amp;IF(OR(H458="",H458="Undecided"),"No disposition. ","")&amp;IF(AND(H458="Ship",J458="",K458=""),"Shipping but no container/vehicle. ","")&amp;IF(AND(J458&lt;&gt;"",K458&lt;&gt;""),"In both a container and a vehicle. ","")&amp;IF(AND(H458="Ship",L458=""),"No destination. ","")&amp;IF(AND(J458&lt;&gt;"",L458&lt;&gt;"",IFERROR(VLOOKUP(J458,Containers!$A$5:$F$60,6,FALSE()),L458)&lt;&gt;L458),"Destination differs from container. ","")&amp;IF(AND(K458&lt;&gt;"",L458&lt;&gt;"",IFERROR(VLOOKUP(K458,Vehicles!$A$5:$F$60,6,FALSE()),L458)&lt;&gt;L458),"Destination differs from vehicle. ","")&amp;IF(AND(H458="Stay",OR(J458&lt;&gt;"",K458&lt;&gt;"",L458&lt;&gt;"")),"Marked Stay but has a container/vehicle/destination. ","")&amp;IF(G458="Missing","Reported missing. ","")&amp;IF(AND(P458&lt;&gt;"",N(P458)&lt;0),"Service overdue. ","")))</f>
        <v/>
      </c>
      <c r="S458" s="17" t="str">
        <f aca="false">IF(A458="","",IF(CHOOSE(MATCH(Find!$C$4,Lists!$K$2:$K$7,0),F458,E458,J458,K458,L458,G458)=Find!$C$5,MAX(S$4:S457)+1,""))</f>
        <v/>
      </c>
      <c r="T458" s="17" t="str">
        <f aca="false">IF(A458="","",IF(OR(J458=Manifest!$C$4,K458=Manifest!$C$4),MAX(T$4:T457)+1,""))</f>
        <v/>
      </c>
    </row>
    <row r="459" customFormat="false" ht="15" hidden="false" customHeight="false" outlineLevel="0" collapsed="false">
      <c r="C459" s="14"/>
      <c r="E459" s="14"/>
      <c r="F459" s="14"/>
      <c r="G459" s="14"/>
      <c r="H459" s="14"/>
      <c r="M459" s="12"/>
      <c r="O459" s="15" t="str">
        <f aca="false">IF(OR(M459="",N459=""),"",M459+N459)</f>
        <v/>
      </c>
      <c r="P459" s="16" t="str">
        <f aca="true">IF(O459="","",O459-TODAY())</f>
        <v/>
      </c>
      <c r="Q459" s="17" t="str">
        <f aca="false">IF(A459="","",TRIM(IF(E459="","No owner. ","")&amp;IF(F459="","No storage location. ","")&amp;IF(D459="","Serial missing. ","")&amp;IF(OR(H459="",H459="Undecided"),"No disposition. ","")&amp;IF(AND(H459="Ship",J459="",K459=""),"Shipping but no container/vehicle. ","")&amp;IF(AND(J459&lt;&gt;"",K459&lt;&gt;""),"In both a container and a vehicle. ","")&amp;IF(AND(H459="Ship",L459=""),"No destination. ","")&amp;IF(AND(J459&lt;&gt;"",L459&lt;&gt;"",IFERROR(VLOOKUP(J459,Containers!$A$5:$F$60,6,FALSE()),L459)&lt;&gt;L459),"Destination differs from container. ","")&amp;IF(AND(K459&lt;&gt;"",L459&lt;&gt;"",IFERROR(VLOOKUP(K459,Vehicles!$A$5:$F$60,6,FALSE()),L459)&lt;&gt;L459),"Destination differs from vehicle. ","")&amp;IF(AND(H459="Stay",OR(J459&lt;&gt;"",K459&lt;&gt;"",L459&lt;&gt;"")),"Marked Stay but has a container/vehicle/destination. ","")&amp;IF(G459="Missing","Reported missing. ","")&amp;IF(AND(P459&lt;&gt;"",N(P459)&lt;0),"Service overdue. ","")))</f>
        <v/>
      </c>
      <c r="S459" s="17" t="str">
        <f aca="false">IF(A459="","",IF(CHOOSE(MATCH(Find!$C$4,Lists!$K$2:$K$7,0),F459,E459,J459,K459,L459,G459)=Find!$C$5,MAX(S$4:S458)+1,""))</f>
        <v/>
      </c>
      <c r="T459" s="17" t="str">
        <f aca="false">IF(A459="","",IF(OR(J459=Manifest!$C$4,K459=Manifest!$C$4),MAX(T$4:T458)+1,""))</f>
        <v/>
      </c>
    </row>
    <row r="460" customFormat="false" ht="15" hidden="false" customHeight="false" outlineLevel="0" collapsed="false">
      <c r="C460" s="14"/>
      <c r="E460" s="14"/>
      <c r="F460" s="14"/>
      <c r="G460" s="14"/>
      <c r="H460" s="14"/>
      <c r="M460" s="12"/>
      <c r="O460" s="15" t="str">
        <f aca="false">IF(OR(M460="",N460=""),"",M460+N460)</f>
        <v/>
      </c>
      <c r="P460" s="16" t="str">
        <f aca="true">IF(O460="","",O460-TODAY())</f>
        <v/>
      </c>
      <c r="Q460" s="17" t="str">
        <f aca="false">IF(A460="","",TRIM(IF(E460="","No owner. ","")&amp;IF(F460="","No storage location. ","")&amp;IF(D460="","Serial missing. ","")&amp;IF(OR(H460="",H460="Undecided"),"No disposition. ","")&amp;IF(AND(H460="Ship",J460="",K460=""),"Shipping but no container/vehicle. ","")&amp;IF(AND(J460&lt;&gt;"",K460&lt;&gt;""),"In both a container and a vehicle. ","")&amp;IF(AND(H460="Ship",L460=""),"No destination. ","")&amp;IF(AND(J460&lt;&gt;"",L460&lt;&gt;"",IFERROR(VLOOKUP(J460,Containers!$A$5:$F$60,6,FALSE()),L460)&lt;&gt;L460),"Destination differs from container. ","")&amp;IF(AND(K460&lt;&gt;"",L460&lt;&gt;"",IFERROR(VLOOKUP(K460,Vehicles!$A$5:$F$60,6,FALSE()),L460)&lt;&gt;L460),"Destination differs from vehicle. ","")&amp;IF(AND(H460="Stay",OR(J460&lt;&gt;"",K460&lt;&gt;"",L460&lt;&gt;"")),"Marked Stay but has a container/vehicle/destination. ","")&amp;IF(G460="Missing","Reported missing. ","")&amp;IF(AND(P460&lt;&gt;"",N(P460)&lt;0),"Service overdue. ","")))</f>
        <v/>
      </c>
      <c r="S460" s="17" t="str">
        <f aca="false">IF(A460="","",IF(CHOOSE(MATCH(Find!$C$4,Lists!$K$2:$K$7,0),F460,E460,J460,K460,L460,G460)=Find!$C$5,MAX(S$4:S459)+1,""))</f>
        <v/>
      </c>
      <c r="T460" s="17" t="str">
        <f aca="false">IF(A460="","",IF(OR(J460=Manifest!$C$4,K460=Manifest!$C$4),MAX(T$4:T459)+1,""))</f>
        <v/>
      </c>
    </row>
    <row r="461" customFormat="false" ht="15" hidden="false" customHeight="false" outlineLevel="0" collapsed="false">
      <c r="C461" s="14"/>
      <c r="E461" s="14"/>
      <c r="F461" s="14"/>
      <c r="G461" s="14"/>
      <c r="H461" s="14"/>
      <c r="M461" s="12"/>
      <c r="O461" s="15" t="str">
        <f aca="false">IF(OR(M461="",N461=""),"",M461+N461)</f>
        <v/>
      </c>
      <c r="P461" s="16" t="str">
        <f aca="true">IF(O461="","",O461-TODAY())</f>
        <v/>
      </c>
      <c r="Q461" s="17" t="str">
        <f aca="false">IF(A461="","",TRIM(IF(E461="","No owner. ","")&amp;IF(F461="","No storage location. ","")&amp;IF(D461="","Serial missing. ","")&amp;IF(OR(H461="",H461="Undecided"),"No disposition. ","")&amp;IF(AND(H461="Ship",J461="",K461=""),"Shipping but no container/vehicle. ","")&amp;IF(AND(J461&lt;&gt;"",K461&lt;&gt;""),"In both a container and a vehicle. ","")&amp;IF(AND(H461="Ship",L461=""),"No destination. ","")&amp;IF(AND(J461&lt;&gt;"",L461&lt;&gt;"",IFERROR(VLOOKUP(J461,Containers!$A$5:$F$60,6,FALSE()),L461)&lt;&gt;L461),"Destination differs from container. ","")&amp;IF(AND(K461&lt;&gt;"",L461&lt;&gt;"",IFERROR(VLOOKUP(K461,Vehicles!$A$5:$F$60,6,FALSE()),L461)&lt;&gt;L461),"Destination differs from vehicle. ","")&amp;IF(AND(H461="Stay",OR(J461&lt;&gt;"",K461&lt;&gt;"",L461&lt;&gt;"")),"Marked Stay but has a container/vehicle/destination. ","")&amp;IF(G461="Missing","Reported missing. ","")&amp;IF(AND(P461&lt;&gt;"",N(P461)&lt;0),"Service overdue. ","")))</f>
        <v/>
      </c>
      <c r="S461" s="17" t="str">
        <f aca="false">IF(A461="","",IF(CHOOSE(MATCH(Find!$C$4,Lists!$K$2:$K$7,0),F461,E461,J461,K461,L461,G461)=Find!$C$5,MAX(S$4:S460)+1,""))</f>
        <v/>
      </c>
      <c r="T461" s="17" t="str">
        <f aca="false">IF(A461="","",IF(OR(J461=Manifest!$C$4,K461=Manifest!$C$4),MAX(T$4:T460)+1,""))</f>
        <v/>
      </c>
    </row>
    <row r="462" customFormat="false" ht="15" hidden="false" customHeight="false" outlineLevel="0" collapsed="false">
      <c r="C462" s="14"/>
      <c r="E462" s="14"/>
      <c r="F462" s="14"/>
      <c r="G462" s="14"/>
      <c r="H462" s="14"/>
      <c r="M462" s="12"/>
      <c r="O462" s="15" t="str">
        <f aca="false">IF(OR(M462="",N462=""),"",M462+N462)</f>
        <v/>
      </c>
      <c r="P462" s="16" t="str">
        <f aca="true">IF(O462="","",O462-TODAY())</f>
        <v/>
      </c>
      <c r="Q462" s="17" t="str">
        <f aca="false">IF(A462="","",TRIM(IF(E462="","No owner. ","")&amp;IF(F462="","No storage location. ","")&amp;IF(D462="","Serial missing. ","")&amp;IF(OR(H462="",H462="Undecided"),"No disposition. ","")&amp;IF(AND(H462="Ship",J462="",K462=""),"Shipping but no container/vehicle. ","")&amp;IF(AND(J462&lt;&gt;"",K462&lt;&gt;""),"In both a container and a vehicle. ","")&amp;IF(AND(H462="Ship",L462=""),"No destination. ","")&amp;IF(AND(J462&lt;&gt;"",L462&lt;&gt;"",IFERROR(VLOOKUP(J462,Containers!$A$5:$F$60,6,FALSE()),L462)&lt;&gt;L462),"Destination differs from container. ","")&amp;IF(AND(K462&lt;&gt;"",L462&lt;&gt;"",IFERROR(VLOOKUP(K462,Vehicles!$A$5:$F$60,6,FALSE()),L462)&lt;&gt;L462),"Destination differs from vehicle. ","")&amp;IF(AND(H462="Stay",OR(J462&lt;&gt;"",K462&lt;&gt;"",L462&lt;&gt;"")),"Marked Stay but has a container/vehicle/destination. ","")&amp;IF(G462="Missing","Reported missing. ","")&amp;IF(AND(P462&lt;&gt;"",N(P462)&lt;0),"Service overdue. ","")))</f>
        <v/>
      </c>
      <c r="S462" s="17" t="str">
        <f aca="false">IF(A462="","",IF(CHOOSE(MATCH(Find!$C$4,Lists!$K$2:$K$7,0),F462,E462,J462,K462,L462,G462)=Find!$C$5,MAX(S$4:S461)+1,""))</f>
        <v/>
      </c>
      <c r="T462" s="17" t="str">
        <f aca="false">IF(A462="","",IF(OR(J462=Manifest!$C$4,K462=Manifest!$C$4),MAX(T$4:T461)+1,""))</f>
        <v/>
      </c>
    </row>
    <row r="463" customFormat="false" ht="15" hidden="false" customHeight="false" outlineLevel="0" collapsed="false">
      <c r="C463" s="14"/>
      <c r="E463" s="14"/>
      <c r="F463" s="14"/>
      <c r="G463" s="14"/>
      <c r="H463" s="14"/>
      <c r="M463" s="12"/>
      <c r="O463" s="15" t="str">
        <f aca="false">IF(OR(M463="",N463=""),"",M463+N463)</f>
        <v/>
      </c>
      <c r="P463" s="16" t="str">
        <f aca="true">IF(O463="","",O463-TODAY())</f>
        <v/>
      </c>
      <c r="Q463" s="17" t="str">
        <f aca="false">IF(A463="","",TRIM(IF(E463="","No owner. ","")&amp;IF(F463="","No storage location. ","")&amp;IF(D463="","Serial missing. ","")&amp;IF(OR(H463="",H463="Undecided"),"No disposition. ","")&amp;IF(AND(H463="Ship",J463="",K463=""),"Shipping but no container/vehicle. ","")&amp;IF(AND(J463&lt;&gt;"",K463&lt;&gt;""),"In both a container and a vehicle. ","")&amp;IF(AND(H463="Ship",L463=""),"No destination. ","")&amp;IF(AND(J463&lt;&gt;"",L463&lt;&gt;"",IFERROR(VLOOKUP(J463,Containers!$A$5:$F$60,6,FALSE()),L463)&lt;&gt;L463),"Destination differs from container. ","")&amp;IF(AND(K463&lt;&gt;"",L463&lt;&gt;"",IFERROR(VLOOKUP(K463,Vehicles!$A$5:$F$60,6,FALSE()),L463)&lt;&gt;L463),"Destination differs from vehicle. ","")&amp;IF(AND(H463="Stay",OR(J463&lt;&gt;"",K463&lt;&gt;"",L463&lt;&gt;"")),"Marked Stay but has a container/vehicle/destination. ","")&amp;IF(G463="Missing","Reported missing. ","")&amp;IF(AND(P463&lt;&gt;"",N(P463)&lt;0),"Service overdue. ","")))</f>
        <v/>
      </c>
      <c r="S463" s="17" t="str">
        <f aca="false">IF(A463="","",IF(CHOOSE(MATCH(Find!$C$4,Lists!$K$2:$K$7,0),F463,E463,J463,K463,L463,G463)=Find!$C$5,MAX(S$4:S462)+1,""))</f>
        <v/>
      </c>
      <c r="T463" s="17" t="str">
        <f aca="false">IF(A463="","",IF(OR(J463=Manifest!$C$4,K463=Manifest!$C$4),MAX(T$4:T462)+1,""))</f>
        <v/>
      </c>
    </row>
    <row r="464" customFormat="false" ht="15" hidden="false" customHeight="false" outlineLevel="0" collapsed="false">
      <c r="C464" s="14"/>
      <c r="E464" s="14"/>
      <c r="F464" s="14"/>
      <c r="G464" s="14"/>
      <c r="H464" s="14"/>
      <c r="M464" s="12"/>
      <c r="O464" s="15" t="str">
        <f aca="false">IF(OR(M464="",N464=""),"",M464+N464)</f>
        <v/>
      </c>
      <c r="P464" s="16" t="str">
        <f aca="true">IF(O464="","",O464-TODAY())</f>
        <v/>
      </c>
      <c r="Q464" s="17" t="str">
        <f aca="false">IF(A464="","",TRIM(IF(E464="","No owner. ","")&amp;IF(F464="","No storage location. ","")&amp;IF(D464="","Serial missing. ","")&amp;IF(OR(H464="",H464="Undecided"),"No disposition. ","")&amp;IF(AND(H464="Ship",J464="",K464=""),"Shipping but no container/vehicle. ","")&amp;IF(AND(J464&lt;&gt;"",K464&lt;&gt;""),"In both a container and a vehicle. ","")&amp;IF(AND(H464="Ship",L464=""),"No destination. ","")&amp;IF(AND(J464&lt;&gt;"",L464&lt;&gt;"",IFERROR(VLOOKUP(J464,Containers!$A$5:$F$60,6,FALSE()),L464)&lt;&gt;L464),"Destination differs from container. ","")&amp;IF(AND(K464&lt;&gt;"",L464&lt;&gt;"",IFERROR(VLOOKUP(K464,Vehicles!$A$5:$F$60,6,FALSE()),L464)&lt;&gt;L464),"Destination differs from vehicle. ","")&amp;IF(AND(H464="Stay",OR(J464&lt;&gt;"",K464&lt;&gt;"",L464&lt;&gt;"")),"Marked Stay but has a container/vehicle/destination. ","")&amp;IF(G464="Missing","Reported missing. ","")&amp;IF(AND(P464&lt;&gt;"",N(P464)&lt;0),"Service overdue. ","")))</f>
        <v/>
      </c>
      <c r="S464" s="17" t="str">
        <f aca="false">IF(A464="","",IF(CHOOSE(MATCH(Find!$C$4,Lists!$K$2:$K$7,0),F464,E464,J464,K464,L464,G464)=Find!$C$5,MAX(S$4:S463)+1,""))</f>
        <v/>
      </c>
      <c r="T464" s="17" t="str">
        <f aca="false">IF(A464="","",IF(OR(J464=Manifest!$C$4,K464=Manifest!$C$4),MAX(T$4:T463)+1,""))</f>
        <v/>
      </c>
    </row>
    <row r="465" customFormat="false" ht="15" hidden="false" customHeight="false" outlineLevel="0" collapsed="false">
      <c r="C465" s="14"/>
      <c r="E465" s="14"/>
      <c r="F465" s="14"/>
      <c r="G465" s="14"/>
      <c r="H465" s="14"/>
      <c r="M465" s="12"/>
      <c r="O465" s="15" t="str">
        <f aca="false">IF(OR(M465="",N465=""),"",M465+N465)</f>
        <v/>
      </c>
      <c r="P465" s="16" t="str">
        <f aca="true">IF(O465="","",O465-TODAY())</f>
        <v/>
      </c>
      <c r="Q465" s="17" t="str">
        <f aca="false">IF(A465="","",TRIM(IF(E465="","No owner. ","")&amp;IF(F465="","No storage location. ","")&amp;IF(D465="","Serial missing. ","")&amp;IF(OR(H465="",H465="Undecided"),"No disposition. ","")&amp;IF(AND(H465="Ship",J465="",K465=""),"Shipping but no container/vehicle. ","")&amp;IF(AND(J465&lt;&gt;"",K465&lt;&gt;""),"In both a container and a vehicle. ","")&amp;IF(AND(H465="Ship",L465=""),"No destination. ","")&amp;IF(AND(J465&lt;&gt;"",L465&lt;&gt;"",IFERROR(VLOOKUP(J465,Containers!$A$5:$F$60,6,FALSE()),L465)&lt;&gt;L465),"Destination differs from container. ","")&amp;IF(AND(K465&lt;&gt;"",L465&lt;&gt;"",IFERROR(VLOOKUP(K465,Vehicles!$A$5:$F$60,6,FALSE()),L465)&lt;&gt;L465),"Destination differs from vehicle. ","")&amp;IF(AND(H465="Stay",OR(J465&lt;&gt;"",K465&lt;&gt;"",L465&lt;&gt;"")),"Marked Stay but has a container/vehicle/destination. ","")&amp;IF(G465="Missing","Reported missing. ","")&amp;IF(AND(P465&lt;&gt;"",N(P465)&lt;0),"Service overdue. ","")))</f>
        <v/>
      </c>
      <c r="S465" s="17" t="str">
        <f aca="false">IF(A465="","",IF(CHOOSE(MATCH(Find!$C$4,Lists!$K$2:$K$7,0),F465,E465,J465,K465,L465,G465)=Find!$C$5,MAX(S$4:S464)+1,""))</f>
        <v/>
      </c>
      <c r="T465" s="17" t="str">
        <f aca="false">IF(A465="","",IF(OR(J465=Manifest!$C$4,K465=Manifest!$C$4),MAX(T$4:T464)+1,""))</f>
        <v/>
      </c>
    </row>
    <row r="466" customFormat="false" ht="15" hidden="false" customHeight="false" outlineLevel="0" collapsed="false">
      <c r="C466" s="14"/>
      <c r="E466" s="14"/>
      <c r="F466" s="14"/>
      <c r="G466" s="14"/>
      <c r="H466" s="14"/>
      <c r="M466" s="12"/>
      <c r="O466" s="15" t="str">
        <f aca="false">IF(OR(M466="",N466=""),"",M466+N466)</f>
        <v/>
      </c>
      <c r="P466" s="16" t="str">
        <f aca="true">IF(O466="","",O466-TODAY())</f>
        <v/>
      </c>
      <c r="Q466" s="17" t="str">
        <f aca="false">IF(A466="","",TRIM(IF(E466="","No owner. ","")&amp;IF(F466="","No storage location. ","")&amp;IF(D466="","Serial missing. ","")&amp;IF(OR(H466="",H466="Undecided"),"No disposition. ","")&amp;IF(AND(H466="Ship",J466="",K466=""),"Shipping but no container/vehicle. ","")&amp;IF(AND(J466&lt;&gt;"",K466&lt;&gt;""),"In both a container and a vehicle. ","")&amp;IF(AND(H466="Ship",L466=""),"No destination. ","")&amp;IF(AND(J466&lt;&gt;"",L466&lt;&gt;"",IFERROR(VLOOKUP(J466,Containers!$A$5:$F$60,6,FALSE()),L466)&lt;&gt;L466),"Destination differs from container. ","")&amp;IF(AND(K466&lt;&gt;"",L466&lt;&gt;"",IFERROR(VLOOKUP(K466,Vehicles!$A$5:$F$60,6,FALSE()),L466)&lt;&gt;L466),"Destination differs from vehicle. ","")&amp;IF(AND(H466="Stay",OR(J466&lt;&gt;"",K466&lt;&gt;"",L466&lt;&gt;"")),"Marked Stay but has a container/vehicle/destination. ","")&amp;IF(G466="Missing","Reported missing. ","")&amp;IF(AND(P466&lt;&gt;"",N(P466)&lt;0),"Service overdue. ","")))</f>
        <v/>
      </c>
      <c r="S466" s="17" t="str">
        <f aca="false">IF(A466="","",IF(CHOOSE(MATCH(Find!$C$4,Lists!$K$2:$K$7,0),F466,E466,J466,K466,L466,G466)=Find!$C$5,MAX(S$4:S465)+1,""))</f>
        <v/>
      </c>
      <c r="T466" s="17" t="str">
        <f aca="false">IF(A466="","",IF(OR(J466=Manifest!$C$4,K466=Manifest!$C$4),MAX(T$4:T465)+1,""))</f>
        <v/>
      </c>
    </row>
    <row r="467" customFormat="false" ht="15" hidden="false" customHeight="false" outlineLevel="0" collapsed="false">
      <c r="C467" s="14"/>
      <c r="E467" s="14"/>
      <c r="F467" s="14"/>
      <c r="G467" s="14"/>
      <c r="H467" s="14"/>
      <c r="M467" s="12"/>
      <c r="O467" s="15" t="str">
        <f aca="false">IF(OR(M467="",N467=""),"",M467+N467)</f>
        <v/>
      </c>
      <c r="P467" s="16" t="str">
        <f aca="true">IF(O467="","",O467-TODAY())</f>
        <v/>
      </c>
      <c r="Q467" s="17" t="str">
        <f aca="false">IF(A467="","",TRIM(IF(E467="","No owner. ","")&amp;IF(F467="","No storage location. ","")&amp;IF(D467="","Serial missing. ","")&amp;IF(OR(H467="",H467="Undecided"),"No disposition. ","")&amp;IF(AND(H467="Ship",J467="",K467=""),"Shipping but no container/vehicle. ","")&amp;IF(AND(J467&lt;&gt;"",K467&lt;&gt;""),"In both a container and a vehicle. ","")&amp;IF(AND(H467="Ship",L467=""),"No destination. ","")&amp;IF(AND(J467&lt;&gt;"",L467&lt;&gt;"",IFERROR(VLOOKUP(J467,Containers!$A$5:$F$60,6,FALSE()),L467)&lt;&gt;L467),"Destination differs from container. ","")&amp;IF(AND(K467&lt;&gt;"",L467&lt;&gt;"",IFERROR(VLOOKUP(K467,Vehicles!$A$5:$F$60,6,FALSE()),L467)&lt;&gt;L467),"Destination differs from vehicle. ","")&amp;IF(AND(H467="Stay",OR(J467&lt;&gt;"",K467&lt;&gt;"",L467&lt;&gt;"")),"Marked Stay but has a container/vehicle/destination. ","")&amp;IF(G467="Missing","Reported missing. ","")&amp;IF(AND(P467&lt;&gt;"",N(P467)&lt;0),"Service overdue. ","")))</f>
        <v/>
      </c>
      <c r="S467" s="17" t="str">
        <f aca="false">IF(A467="","",IF(CHOOSE(MATCH(Find!$C$4,Lists!$K$2:$K$7,0),F467,E467,J467,K467,L467,G467)=Find!$C$5,MAX(S$4:S466)+1,""))</f>
        <v/>
      </c>
      <c r="T467" s="17" t="str">
        <f aca="false">IF(A467="","",IF(OR(J467=Manifest!$C$4,K467=Manifest!$C$4),MAX(T$4:T466)+1,""))</f>
        <v/>
      </c>
    </row>
    <row r="468" customFormat="false" ht="15" hidden="false" customHeight="false" outlineLevel="0" collapsed="false">
      <c r="C468" s="14"/>
      <c r="E468" s="14"/>
      <c r="F468" s="14"/>
      <c r="G468" s="14"/>
      <c r="H468" s="14"/>
      <c r="M468" s="12"/>
      <c r="O468" s="15" t="str">
        <f aca="false">IF(OR(M468="",N468=""),"",M468+N468)</f>
        <v/>
      </c>
      <c r="P468" s="16" t="str">
        <f aca="true">IF(O468="","",O468-TODAY())</f>
        <v/>
      </c>
      <c r="Q468" s="17" t="str">
        <f aca="false">IF(A468="","",TRIM(IF(E468="","No owner. ","")&amp;IF(F468="","No storage location. ","")&amp;IF(D468="","Serial missing. ","")&amp;IF(OR(H468="",H468="Undecided"),"No disposition. ","")&amp;IF(AND(H468="Ship",J468="",K468=""),"Shipping but no container/vehicle. ","")&amp;IF(AND(J468&lt;&gt;"",K468&lt;&gt;""),"In both a container and a vehicle. ","")&amp;IF(AND(H468="Ship",L468=""),"No destination. ","")&amp;IF(AND(J468&lt;&gt;"",L468&lt;&gt;"",IFERROR(VLOOKUP(J468,Containers!$A$5:$F$60,6,FALSE()),L468)&lt;&gt;L468),"Destination differs from container. ","")&amp;IF(AND(K468&lt;&gt;"",L468&lt;&gt;"",IFERROR(VLOOKUP(K468,Vehicles!$A$5:$F$60,6,FALSE()),L468)&lt;&gt;L468),"Destination differs from vehicle. ","")&amp;IF(AND(H468="Stay",OR(J468&lt;&gt;"",K468&lt;&gt;"",L468&lt;&gt;"")),"Marked Stay but has a container/vehicle/destination. ","")&amp;IF(G468="Missing","Reported missing. ","")&amp;IF(AND(P468&lt;&gt;"",N(P468)&lt;0),"Service overdue. ","")))</f>
        <v/>
      </c>
      <c r="S468" s="17" t="str">
        <f aca="false">IF(A468="","",IF(CHOOSE(MATCH(Find!$C$4,Lists!$K$2:$K$7,0),F468,E468,J468,K468,L468,G468)=Find!$C$5,MAX(S$4:S467)+1,""))</f>
        <v/>
      </c>
      <c r="T468" s="17" t="str">
        <f aca="false">IF(A468="","",IF(OR(J468=Manifest!$C$4,K468=Manifest!$C$4),MAX(T$4:T467)+1,""))</f>
        <v/>
      </c>
    </row>
    <row r="469" customFormat="false" ht="15" hidden="false" customHeight="false" outlineLevel="0" collapsed="false">
      <c r="C469" s="14"/>
      <c r="E469" s="14"/>
      <c r="F469" s="14"/>
      <c r="G469" s="14"/>
      <c r="H469" s="14"/>
      <c r="M469" s="12"/>
      <c r="O469" s="15" t="str">
        <f aca="false">IF(OR(M469="",N469=""),"",M469+N469)</f>
        <v/>
      </c>
      <c r="P469" s="16" t="str">
        <f aca="true">IF(O469="","",O469-TODAY())</f>
        <v/>
      </c>
      <c r="Q469" s="17" t="str">
        <f aca="false">IF(A469="","",TRIM(IF(E469="","No owner. ","")&amp;IF(F469="","No storage location. ","")&amp;IF(D469="","Serial missing. ","")&amp;IF(OR(H469="",H469="Undecided"),"No disposition. ","")&amp;IF(AND(H469="Ship",J469="",K469=""),"Shipping but no container/vehicle. ","")&amp;IF(AND(J469&lt;&gt;"",K469&lt;&gt;""),"In both a container and a vehicle. ","")&amp;IF(AND(H469="Ship",L469=""),"No destination. ","")&amp;IF(AND(J469&lt;&gt;"",L469&lt;&gt;"",IFERROR(VLOOKUP(J469,Containers!$A$5:$F$60,6,FALSE()),L469)&lt;&gt;L469),"Destination differs from container. ","")&amp;IF(AND(K469&lt;&gt;"",L469&lt;&gt;"",IFERROR(VLOOKUP(K469,Vehicles!$A$5:$F$60,6,FALSE()),L469)&lt;&gt;L469),"Destination differs from vehicle. ","")&amp;IF(AND(H469="Stay",OR(J469&lt;&gt;"",K469&lt;&gt;"",L469&lt;&gt;"")),"Marked Stay but has a container/vehicle/destination. ","")&amp;IF(G469="Missing","Reported missing. ","")&amp;IF(AND(P469&lt;&gt;"",N(P469)&lt;0),"Service overdue. ","")))</f>
        <v/>
      </c>
      <c r="S469" s="17" t="str">
        <f aca="false">IF(A469="","",IF(CHOOSE(MATCH(Find!$C$4,Lists!$K$2:$K$7,0),F469,E469,J469,K469,L469,G469)=Find!$C$5,MAX(S$4:S468)+1,""))</f>
        <v/>
      </c>
      <c r="T469" s="17" t="str">
        <f aca="false">IF(A469="","",IF(OR(J469=Manifest!$C$4,K469=Manifest!$C$4),MAX(T$4:T468)+1,""))</f>
        <v/>
      </c>
    </row>
    <row r="470" customFormat="false" ht="15" hidden="false" customHeight="false" outlineLevel="0" collapsed="false">
      <c r="C470" s="14"/>
      <c r="E470" s="14"/>
      <c r="F470" s="14"/>
      <c r="G470" s="14"/>
      <c r="H470" s="14"/>
      <c r="M470" s="12"/>
      <c r="O470" s="15" t="str">
        <f aca="false">IF(OR(M470="",N470=""),"",M470+N470)</f>
        <v/>
      </c>
      <c r="P470" s="16" t="str">
        <f aca="true">IF(O470="","",O470-TODAY())</f>
        <v/>
      </c>
      <c r="Q470" s="17" t="str">
        <f aca="false">IF(A470="","",TRIM(IF(E470="","No owner. ","")&amp;IF(F470="","No storage location. ","")&amp;IF(D470="","Serial missing. ","")&amp;IF(OR(H470="",H470="Undecided"),"No disposition. ","")&amp;IF(AND(H470="Ship",J470="",K470=""),"Shipping but no container/vehicle. ","")&amp;IF(AND(J470&lt;&gt;"",K470&lt;&gt;""),"In both a container and a vehicle. ","")&amp;IF(AND(H470="Ship",L470=""),"No destination. ","")&amp;IF(AND(J470&lt;&gt;"",L470&lt;&gt;"",IFERROR(VLOOKUP(J470,Containers!$A$5:$F$60,6,FALSE()),L470)&lt;&gt;L470),"Destination differs from container. ","")&amp;IF(AND(K470&lt;&gt;"",L470&lt;&gt;"",IFERROR(VLOOKUP(K470,Vehicles!$A$5:$F$60,6,FALSE()),L470)&lt;&gt;L470),"Destination differs from vehicle. ","")&amp;IF(AND(H470="Stay",OR(J470&lt;&gt;"",K470&lt;&gt;"",L470&lt;&gt;"")),"Marked Stay but has a container/vehicle/destination. ","")&amp;IF(G470="Missing","Reported missing. ","")&amp;IF(AND(P470&lt;&gt;"",N(P470)&lt;0),"Service overdue. ","")))</f>
        <v/>
      </c>
      <c r="S470" s="17" t="str">
        <f aca="false">IF(A470="","",IF(CHOOSE(MATCH(Find!$C$4,Lists!$K$2:$K$7,0),F470,E470,J470,K470,L470,G470)=Find!$C$5,MAX(S$4:S469)+1,""))</f>
        <v/>
      </c>
      <c r="T470" s="17" t="str">
        <f aca="false">IF(A470="","",IF(OR(J470=Manifest!$C$4,K470=Manifest!$C$4),MAX(T$4:T469)+1,""))</f>
        <v/>
      </c>
    </row>
    <row r="471" customFormat="false" ht="15" hidden="false" customHeight="false" outlineLevel="0" collapsed="false">
      <c r="C471" s="14"/>
      <c r="E471" s="14"/>
      <c r="F471" s="14"/>
      <c r="G471" s="14"/>
      <c r="H471" s="14"/>
      <c r="M471" s="12"/>
      <c r="O471" s="15" t="str">
        <f aca="false">IF(OR(M471="",N471=""),"",M471+N471)</f>
        <v/>
      </c>
      <c r="P471" s="16" t="str">
        <f aca="true">IF(O471="","",O471-TODAY())</f>
        <v/>
      </c>
      <c r="Q471" s="17" t="str">
        <f aca="false">IF(A471="","",TRIM(IF(E471="","No owner. ","")&amp;IF(F471="","No storage location. ","")&amp;IF(D471="","Serial missing. ","")&amp;IF(OR(H471="",H471="Undecided"),"No disposition. ","")&amp;IF(AND(H471="Ship",J471="",K471=""),"Shipping but no container/vehicle. ","")&amp;IF(AND(J471&lt;&gt;"",K471&lt;&gt;""),"In both a container and a vehicle. ","")&amp;IF(AND(H471="Ship",L471=""),"No destination. ","")&amp;IF(AND(J471&lt;&gt;"",L471&lt;&gt;"",IFERROR(VLOOKUP(J471,Containers!$A$5:$F$60,6,FALSE()),L471)&lt;&gt;L471),"Destination differs from container. ","")&amp;IF(AND(K471&lt;&gt;"",L471&lt;&gt;"",IFERROR(VLOOKUP(K471,Vehicles!$A$5:$F$60,6,FALSE()),L471)&lt;&gt;L471),"Destination differs from vehicle. ","")&amp;IF(AND(H471="Stay",OR(J471&lt;&gt;"",K471&lt;&gt;"",L471&lt;&gt;"")),"Marked Stay but has a container/vehicle/destination. ","")&amp;IF(G471="Missing","Reported missing. ","")&amp;IF(AND(P471&lt;&gt;"",N(P471)&lt;0),"Service overdue. ","")))</f>
        <v/>
      </c>
      <c r="S471" s="17" t="str">
        <f aca="false">IF(A471="","",IF(CHOOSE(MATCH(Find!$C$4,Lists!$K$2:$K$7,0),F471,E471,J471,K471,L471,G471)=Find!$C$5,MAX(S$4:S470)+1,""))</f>
        <v/>
      </c>
      <c r="T471" s="17" t="str">
        <f aca="false">IF(A471="","",IF(OR(J471=Manifest!$C$4,K471=Manifest!$C$4),MAX(T$4:T470)+1,""))</f>
        <v/>
      </c>
    </row>
    <row r="472" customFormat="false" ht="15" hidden="false" customHeight="false" outlineLevel="0" collapsed="false">
      <c r="C472" s="14"/>
      <c r="E472" s="14"/>
      <c r="F472" s="14"/>
      <c r="G472" s="14"/>
      <c r="H472" s="14"/>
      <c r="M472" s="12"/>
      <c r="O472" s="15" t="str">
        <f aca="false">IF(OR(M472="",N472=""),"",M472+N472)</f>
        <v/>
      </c>
      <c r="P472" s="16" t="str">
        <f aca="true">IF(O472="","",O472-TODAY())</f>
        <v/>
      </c>
      <c r="Q472" s="17" t="str">
        <f aca="false">IF(A472="","",TRIM(IF(E472="","No owner. ","")&amp;IF(F472="","No storage location. ","")&amp;IF(D472="","Serial missing. ","")&amp;IF(OR(H472="",H472="Undecided"),"No disposition. ","")&amp;IF(AND(H472="Ship",J472="",K472=""),"Shipping but no container/vehicle. ","")&amp;IF(AND(J472&lt;&gt;"",K472&lt;&gt;""),"In both a container and a vehicle. ","")&amp;IF(AND(H472="Ship",L472=""),"No destination. ","")&amp;IF(AND(J472&lt;&gt;"",L472&lt;&gt;"",IFERROR(VLOOKUP(J472,Containers!$A$5:$F$60,6,FALSE()),L472)&lt;&gt;L472),"Destination differs from container. ","")&amp;IF(AND(K472&lt;&gt;"",L472&lt;&gt;"",IFERROR(VLOOKUP(K472,Vehicles!$A$5:$F$60,6,FALSE()),L472)&lt;&gt;L472),"Destination differs from vehicle. ","")&amp;IF(AND(H472="Stay",OR(J472&lt;&gt;"",K472&lt;&gt;"",L472&lt;&gt;"")),"Marked Stay but has a container/vehicle/destination. ","")&amp;IF(G472="Missing","Reported missing. ","")&amp;IF(AND(P472&lt;&gt;"",N(P472)&lt;0),"Service overdue. ","")))</f>
        <v/>
      </c>
      <c r="S472" s="17" t="str">
        <f aca="false">IF(A472="","",IF(CHOOSE(MATCH(Find!$C$4,Lists!$K$2:$K$7,0),F472,E472,J472,K472,L472,G472)=Find!$C$5,MAX(S$4:S471)+1,""))</f>
        <v/>
      </c>
      <c r="T472" s="17" t="str">
        <f aca="false">IF(A472="","",IF(OR(J472=Manifest!$C$4,K472=Manifest!$C$4),MAX(T$4:T471)+1,""))</f>
        <v/>
      </c>
    </row>
    <row r="473" customFormat="false" ht="15" hidden="false" customHeight="false" outlineLevel="0" collapsed="false">
      <c r="C473" s="14"/>
      <c r="E473" s="14"/>
      <c r="F473" s="14"/>
      <c r="G473" s="14"/>
      <c r="H473" s="14"/>
      <c r="M473" s="12"/>
      <c r="O473" s="15" t="str">
        <f aca="false">IF(OR(M473="",N473=""),"",M473+N473)</f>
        <v/>
      </c>
      <c r="P473" s="16" t="str">
        <f aca="true">IF(O473="","",O473-TODAY())</f>
        <v/>
      </c>
      <c r="Q473" s="17" t="str">
        <f aca="false">IF(A473="","",TRIM(IF(E473="","No owner. ","")&amp;IF(F473="","No storage location. ","")&amp;IF(D473="","Serial missing. ","")&amp;IF(OR(H473="",H473="Undecided"),"No disposition. ","")&amp;IF(AND(H473="Ship",J473="",K473=""),"Shipping but no container/vehicle. ","")&amp;IF(AND(J473&lt;&gt;"",K473&lt;&gt;""),"In both a container and a vehicle. ","")&amp;IF(AND(H473="Ship",L473=""),"No destination. ","")&amp;IF(AND(J473&lt;&gt;"",L473&lt;&gt;"",IFERROR(VLOOKUP(J473,Containers!$A$5:$F$60,6,FALSE()),L473)&lt;&gt;L473),"Destination differs from container. ","")&amp;IF(AND(K473&lt;&gt;"",L473&lt;&gt;"",IFERROR(VLOOKUP(K473,Vehicles!$A$5:$F$60,6,FALSE()),L473)&lt;&gt;L473),"Destination differs from vehicle. ","")&amp;IF(AND(H473="Stay",OR(J473&lt;&gt;"",K473&lt;&gt;"",L473&lt;&gt;"")),"Marked Stay but has a container/vehicle/destination. ","")&amp;IF(G473="Missing","Reported missing. ","")&amp;IF(AND(P473&lt;&gt;"",N(P473)&lt;0),"Service overdue. ","")))</f>
        <v/>
      </c>
      <c r="S473" s="17" t="str">
        <f aca="false">IF(A473="","",IF(CHOOSE(MATCH(Find!$C$4,Lists!$K$2:$K$7,0),F473,E473,J473,K473,L473,G473)=Find!$C$5,MAX(S$4:S472)+1,""))</f>
        <v/>
      </c>
      <c r="T473" s="17" t="str">
        <f aca="false">IF(A473="","",IF(OR(J473=Manifest!$C$4,K473=Manifest!$C$4),MAX(T$4:T472)+1,""))</f>
        <v/>
      </c>
    </row>
    <row r="474" customFormat="false" ht="15" hidden="false" customHeight="false" outlineLevel="0" collapsed="false">
      <c r="C474" s="14"/>
      <c r="E474" s="14"/>
      <c r="F474" s="14"/>
      <c r="G474" s="14"/>
      <c r="H474" s="14"/>
      <c r="M474" s="12"/>
      <c r="O474" s="15" t="str">
        <f aca="false">IF(OR(M474="",N474=""),"",M474+N474)</f>
        <v/>
      </c>
      <c r="P474" s="16" t="str">
        <f aca="true">IF(O474="","",O474-TODAY())</f>
        <v/>
      </c>
      <c r="Q474" s="17" t="str">
        <f aca="false">IF(A474="","",TRIM(IF(E474="","No owner. ","")&amp;IF(F474="","No storage location. ","")&amp;IF(D474="","Serial missing. ","")&amp;IF(OR(H474="",H474="Undecided"),"No disposition. ","")&amp;IF(AND(H474="Ship",J474="",K474=""),"Shipping but no container/vehicle. ","")&amp;IF(AND(J474&lt;&gt;"",K474&lt;&gt;""),"In both a container and a vehicle. ","")&amp;IF(AND(H474="Ship",L474=""),"No destination. ","")&amp;IF(AND(J474&lt;&gt;"",L474&lt;&gt;"",IFERROR(VLOOKUP(J474,Containers!$A$5:$F$60,6,FALSE()),L474)&lt;&gt;L474),"Destination differs from container. ","")&amp;IF(AND(K474&lt;&gt;"",L474&lt;&gt;"",IFERROR(VLOOKUP(K474,Vehicles!$A$5:$F$60,6,FALSE()),L474)&lt;&gt;L474),"Destination differs from vehicle. ","")&amp;IF(AND(H474="Stay",OR(J474&lt;&gt;"",K474&lt;&gt;"",L474&lt;&gt;"")),"Marked Stay but has a container/vehicle/destination. ","")&amp;IF(G474="Missing","Reported missing. ","")&amp;IF(AND(P474&lt;&gt;"",N(P474)&lt;0),"Service overdue. ","")))</f>
        <v/>
      </c>
      <c r="S474" s="17" t="str">
        <f aca="false">IF(A474="","",IF(CHOOSE(MATCH(Find!$C$4,Lists!$K$2:$K$7,0),F474,E474,J474,K474,L474,G474)=Find!$C$5,MAX(S$4:S473)+1,""))</f>
        <v/>
      </c>
      <c r="T474" s="17" t="str">
        <f aca="false">IF(A474="","",IF(OR(J474=Manifest!$C$4,K474=Manifest!$C$4),MAX(T$4:T473)+1,""))</f>
        <v/>
      </c>
    </row>
    <row r="475" customFormat="false" ht="15" hidden="false" customHeight="false" outlineLevel="0" collapsed="false">
      <c r="C475" s="14"/>
      <c r="E475" s="14"/>
      <c r="F475" s="14"/>
      <c r="G475" s="14"/>
      <c r="H475" s="14"/>
      <c r="M475" s="12"/>
      <c r="O475" s="15" t="str">
        <f aca="false">IF(OR(M475="",N475=""),"",M475+N475)</f>
        <v/>
      </c>
      <c r="P475" s="16" t="str">
        <f aca="true">IF(O475="","",O475-TODAY())</f>
        <v/>
      </c>
      <c r="Q475" s="17" t="str">
        <f aca="false">IF(A475="","",TRIM(IF(E475="","No owner. ","")&amp;IF(F475="","No storage location. ","")&amp;IF(D475="","Serial missing. ","")&amp;IF(OR(H475="",H475="Undecided"),"No disposition. ","")&amp;IF(AND(H475="Ship",J475="",K475=""),"Shipping but no container/vehicle. ","")&amp;IF(AND(J475&lt;&gt;"",K475&lt;&gt;""),"In both a container and a vehicle. ","")&amp;IF(AND(H475="Ship",L475=""),"No destination. ","")&amp;IF(AND(J475&lt;&gt;"",L475&lt;&gt;"",IFERROR(VLOOKUP(J475,Containers!$A$5:$F$60,6,FALSE()),L475)&lt;&gt;L475),"Destination differs from container. ","")&amp;IF(AND(K475&lt;&gt;"",L475&lt;&gt;"",IFERROR(VLOOKUP(K475,Vehicles!$A$5:$F$60,6,FALSE()),L475)&lt;&gt;L475),"Destination differs from vehicle. ","")&amp;IF(AND(H475="Stay",OR(J475&lt;&gt;"",K475&lt;&gt;"",L475&lt;&gt;"")),"Marked Stay but has a container/vehicle/destination. ","")&amp;IF(G475="Missing","Reported missing. ","")&amp;IF(AND(P475&lt;&gt;"",N(P475)&lt;0),"Service overdue. ","")))</f>
        <v/>
      </c>
      <c r="S475" s="17" t="str">
        <f aca="false">IF(A475="","",IF(CHOOSE(MATCH(Find!$C$4,Lists!$K$2:$K$7,0),F475,E475,J475,K475,L475,G475)=Find!$C$5,MAX(S$4:S474)+1,""))</f>
        <v/>
      </c>
      <c r="T475" s="17" t="str">
        <f aca="false">IF(A475="","",IF(OR(J475=Manifest!$C$4,K475=Manifest!$C$4),MAX(T$4:T474)+1,""))</f>
        <v/>
      </c>
    </row>
    <row r="476" customFormat="false" ht="15" hidden="false" customHeight="false" outlineLevel="0" collapsed="false">
      <c r="C476" s="14"/>
      <c r="E476" s="14"/>
      <c r="F476" s="14"/>
      <c r="G476" s="14"/>
      <c r="H476" s="14"/>
      <c r="M476" s="12"/>
      <c r="O476" s="15" t="str">
        <f aca="false">IF(OR(M476="",N476=""),"",M476+N476)</f>
        <v/>
      </c>
      <c r="P476" s="16" t="str">
        <f aca="true">IF(O476="","",O476-TODAY())</f>
        <v/>
      </c>
      <c r="Q476" s="17" t="str">
        <f aca="false">IF(A476="","",TRIM(IF(E476="","No owner. ","")&amp;IF(F476="","No storage location. ","")&amp;IF(D476="","Serial missing. ","")&amp;IF(OR(H476="",H476="Undecided"),"No disposition. ","")&amp;IF(AND(H476="Ship",J476="",K476=""),"Shipping but no container/vehicle. ","")&amp;IF(AND(J476&lt;&gt;"",K476&lt;&gt;""),"In both a container and a vehicle. ","")&amp;IF(AND(H476="Ship",L476=""),"No destination. ","")&amp;IF(AND(J476&lt;&gt;"",L476&lt;&gt;"",IFERROR(VLOOKUP(J476,Containers!$A$5:$F$60,6,FALSE()),L476)&lt;&gt;L476),"Destination differs from container. ","")&amp;IF(AND(K476&lt;&gt;"",L476&lt;&gt;"",IFERROR(VLOOKUP(K476,Vehicles!$A$5:$F$60,6,FALSE()),L476)&lt;&gt;L476),"Destination differs from vehicle. ","")&amp;IF(AND(H476="Stay",OR(J476&lt;&gt;"",K476&lt;&gt;"",L476&lt;&gt;"")),"Marked Stay but has a container/vehicle/destination. ","")&amp;IF(G476="Missing","Reported missing. ","")&amp;IF(AND(P476&lt;&gt;"",N(P476)&lt;0),"Service overdue. ","")))</f>
        <v/>
      </c>
      <c r="S476" s="17" t="str">
        <f aca="false">IF(A476="","",IF(CHOOSE(MATCH(Find!$C$4,Lists!$K$2:$K$7,0),F476,E476,J476,K476,L476,G476)=Find!$C$5,MAX(S$4:S475)+1,""))</f>
        <v/>
      </c>
      <c r="T476" s="17" t="str">
        <f aca="false">IF(A476="","",IF(OR(J476=Manifest!$C$4,K476=Manifest!$C$4),MAX(T$4:T475)+1,""))</f>
        <v/>
      </c>
    </row>
    <row r="477" customFormat="false" ht="15" hidden="false" customHeight="false" outlineLevel="0" collapsed="false">
      <c r="C477" s="14"/>
      <c r="E477" s="14"/>
      <c r="F477" s="14"/>
      <c r="G477" s="14"/>
      <c r="H477" s="14"/>
      <c r="M477" s="12"/>
      <c r="O477" s="15" t="str">
        <f aca="false">IF(OR(M477="",N477=""),"",M477+N477)</f>
        <v/>
      </c>
      <c r="P477" s="16" t="str">
        <f aca="true">IF(O477="","",O477-TODAY())</f>
        <v/>
      </c>
      <c r="Q477" s="17" t="str">
        <f aca="false">IF(A477="","",TRIM(IF(E477="","No owner. ","")&amp;IF(F477="","No storage location. ","")&amp;IF(D477="","Serial missing. ","")&amp;IF(OR(H477="",H477="Undecided"),"No disposition. ","")&amp;IF(AND(H477="Ship",J477="",K477=""),"Shipping but no container/vehicle. ","")&amp;IF(AND(J477&lt;&gt;"",K477&lt;&gt;""),"In both a container and a vehicle. ","")&amp;IF(AND(H477="Ship",L477=""),"No destination. ","")&amp;IF(AND(J477&lt;&gt;"",L477&lt;&gt;"",IFERROR(VLOOKUP(J477,Containers!$A$5:$F$60,6,FALSE()),L477)&lt;&gt;L477),"Destination differs from container. ","")&amp;IF(AND(K477&lt;&gt;"",L477&lt;&gt;"",IFERROR(VLOOKUP(K477,Vehicles!$A$5:$F$60,6,FALSE()),L477)&lt;&gt;L477),"Destination differs from vehicle. ","")&amp;IF(AND(H477="Stay",OR(J477&lt;&gt;"",K477&lt;&gt;"",L477&lt;&gt;"")),"Marked Stay but has a container/vehicle/destination. ","")&amp;IF(G477="Missing","Reported missing. ","")&amp;IF(AND(P477&lt;&gt;"",N(P477)&lt;0),"Service overdue. ","")))</f>
        <v/>
      </c>
      <c r="S477" s="17" t="str">
        <f aca="false">IF(A477="","",IF(CHOOSE(MATCH(Find!$C$4,Lists!$K$2:$K$7,0),F477,E477,J477,K477,L477,G477)=Find!$C$5,MAX(S$4:S476)+1,""))</f>
        <v/>
      </c>
      <c r="T477" s="17" t="str">
        <f aca="false">IF(A477="","",IF(OR(J477=Manifest!$C$4,K477=Manifest!$C$4),MAX(T$4:T476)+1,""))</f>
        <v/>
      </c>
    </row>
    <row r="478" customFormat="false" ht="15" hidden="false" customHeight="false" outlineLevel="0" collapsed="false">
      <c r="C478" s="14"/>
      <c r="E478" s="14"/>
      <c r="F478" s="14"/>
      <c r="G478" s="14"/>
      <c r="H478" s="14"/>
      <c r="M478" s="12"/>
      <c r="O478" s="15" t="str">
        <f aca="false">IF(OR(M478="",N478=""),"",M478+N478)</f>
        <v/>
      </c>
      <c r="P478" s="16" t="str">
        <f aca="true">IF(O478="","",O478-TODAY())</f>
        <v/>
      </c>
      <c r="Q478" s="17" t="str">
        <f aca="false">IF(A478="","",TRIM(IF(E478="","No owner. ","")&amp;IF(F478="","No storage location. ","")&amp;IF(D478="","Serial missing. ","")&amp;IF(OR(H478="",H478="Undecided"),"No disposition. ","")&amp;IF(AND(H478="Ship",J478="",K478=""),"Shipping but no container/vehicle. ","")&amp;IF(AND(J478&lt;&gt;"",K478&lt;&gt;""),"In both a container and a vehicle. ","")&amp;IF(AND(H478="Ship",L478=""),"No destination. ","")&amp;IF(AND(J478&lt;&gt;"",L478&lt;&gt;"",IFERROR(VLOOKUP(J478,Containers!$A$5:$F$60,6,FALSE()),L478)&lt;&gt;L478),"Destination differs from container. ","")&amp;IF(AND(K478&lt;&gt;"",L478&lt;&gt;"",IFERROR(VLOOKUP(K478,Vehicles!$A$5:$F$60,6,FALSE()),L478)&lt;&gt;L478),"Destination differs from vehicle. ","")&amp;IF(AND(H478="Stay",OR(J478&lt;&gt;"",K478&lt;&gt;"",L478&lt;&gt;"")),"Marked Stay but has a container/vehicle/destination. ","")&amp;IF(G478="Missing","Reported missing. ","")&amp;IF(AND(P478&lt;&gt;"",N(P478)&lt;0),"Service overdue. ","")))</f>
        <v/>
      </c>
      <c r="S478" s="17" t="str">
        <f aca="false">IF(A478="","",IF(CHOOSE(MATCH(Find!$C$4,Lists!$K$2:$K$7,0),F478,E478,J478,K478,L478,G478)=Find!$C$5,MAX(S$4:S477)+1,""))</f>
        <v/>
      </c>
      <c r="T478" s="17" t="str">
        <f aca="false">IF(A478="","",IF(OR(J478=Manifest!$C$4,K478=Manifest!$C$4),MAX(T$4:T477)+1,""))</f>
        <v/>
      </c>
    </row>
    <row r="479" customFormat="false" ht="15" hidden="false" customHeight="false" outlineLevel="0" collapsed="false">
      <c r="C479" s="14"/>
      <c r="E479" s="14"/>
      <c r="F479" s="14"/>
      <c r="G479" s="14"/>
      <c r="H479" s="14"/>
      <c r="M479" s="12"/>
      <c r="O479" s="15" t="str">
        <f aca="false">IF(OR(M479="",N479=""),"",M479+N479)</f>
        <v/>
      </c>
      <c r="P479" s="16" t="str">
        <f aca="true">IF(O479="","",O479-TODAY())</f>
        <v/>
      </c>
      <c r="Q479" s="17" t="str">
        <f aca="false">IF(A479="","",TRIM(IF(E479="","No owner. ","")&amp;IF(F479="","No storage location. ","")&amp;IF(D479="","Serial missing. ","")&amp;IF(OR(H479="",H479="Undecided"),"No disposition. ","")&amp;IF(AND(H479="Ship",J479="",K479=""),"Shipping but no container/vehicle. ","")&amp;IF(AND(J479&lt;&gt;"",K479&lt;&gt;""),"In both a container and a vehicle. ","")&amp;IF(AND(H479="Ship",L479=""),"No destination. ","")&amp;IF(AND(J479&lt;&gt;"",L479&lt;&gt;"",IFERROR(VLOOKUP(J479,Containers!$A$5:$F$60,6,FALSE()),L479)&lt;&gt;L479),"Destination differs from container. ","")&amp;IF(AND(K479&lt;&gt;"",L479&lt;&gt;"",IFERROR(VLOOKUP(K479,Vehicles!$A$5:$F$60,6,FALSE()),L479)&lt;&gt;L479),"Destination differs from vehicle. ","")&amp;IF(AND(H479="Stay",OR(J479&lt;&gt;"",K479&lt;&gt;"",L479&lt;&gt;"")),"Marked Stay but has a container/vehicle/destination. ","")&amp;IF(G479="Missing","Reported missing. ","")&amp;IF(AND(P479&lt;&gt;"",N(P479)&lt;0),"Service overdue. ","")))</f>
        <v/>
      </c>
      <c r="S479" s="17" t="str">
        <f aca="false">IF(A479="","",IF(CHOOSE(MATCH(Find!$C$4,Lists!$K$2:$K$7,0),F479,E479,J479,K479,L479,G479)=Find!$C$5,MAX(S$4:S478)+1,""))</f>
        <v/>
      </c>
      <c r="T479" s="17" t="str">
        <f aca="false">IF(A479="","",IF(OR(J479=Manifest!$C$4,K479=Manifest!$C$4),MAX(T$4:T478)+1,""))</f>
        <v/>
      </c>
    </row>
    <row r="480" customFormat="false" ht="15" hidden="false" customHeight="false" outlineLevel="0" collapsed="false">
      <c r="C480" s="14"/>
      <c r="E480" s="14"/>
      <c r="F480" s="14"/>
      <c r="G480" s="14"/>
      <c r="H480" s="14"/>
      <c r="M480" s="12"/>
      <c r="O480" s="15" t="str">
        <f aca="false">IF(OR(M480="",N480=""),"",M480+N480)</f>
        <v/>
      </c>
      <c r="P480" s="16" t="str">
        <f aca="true">IF(O480="","",O480-TODAY())</f>
        <v/>
      </c>
      <c r="Q480" s="17" t="str">
        <f aca="false">IF(A480="","",TRIM(IF(E480="","No owner. ","")&amp;IF(F480="","No storage location. ","")&amp;IF(D480="","Serial missing. ","")&amp;IF(OR(H480="",H480="Undecided"),"No disposition. ","")&amp;IF(AND(H480="Ship",J480="",K480=""),"Shipping but no container/vehicle. ","")&amp;IF(AND(J480&lt;&gt;"",K480&lt;&gt;""),"In both a container and a vehicle. ","")&amp;IF(AND(H480="Ship",L480=""),"No destination. ","")&amp;IF(AND(J480&lt;&gt;"",L480&lt;&gt;"",IFERROR(VLOOKUP(J480,Containers!$A$5:$F$60,6,FALSE()),L480)&lt;&gt;L480),"Destination differs from container. ","")&amp;IF(AND(K480&lt;&gt;"",L480&lt;&gt;"",IFERROR(VLOOKUP(K480,Vehicles!$A$5:$F$60,6,FALSE()),L480)&lt;&gt;L480),"Destination differs from vehicle. ","")&amp;IF(AND(H480="Stay",OR(J480&lt;&gt;"",K480&lt;&gt;"",L480&lt;&gt;"")),"Marked Stay but has a container/vehicle/destination. ","")&amp;IF(G480="Missing","Reported missing. ","")&amp;IF(AND(P480&lt;&gt;"",N(P480)&lt;0),"Service overdue. ","")))</f>
        <v/>
      </c>
      <c r="S480" s="17" t="str">
        <f aca="false">IF(A480="","",IF(CHOOSE(MATCH(Find!$C$4,Lists!$K$2:$K$7,0),F480,E480,J480,K480,L480,G480)=Find!$C$5,MAX(S$4:S479)+1,""))</f>
        <v/>
      </c>
      <c r="T480" s="17" t="str">
        <f aca="false">IF(A480="","",IF(OR(J480=Manifest!$C$4,K480=Manifest!$C$4),MAX(T$4:T479)+1,""))</f>
        <v/>
      </c>
    </row>
    <row r="481" customFormat="false" ht="15" hidden="false" customHeight="false" outlineLevel="0" collapsed="false">
      <c r="C481" s="14"/>
      <c r="E481" s="14"/>
      <c r="F481" s="14"/>
      <c r="G481" s="14"/>
      <c r="H481" s="14"/>
      <c r="M481" s="12"/>
      <c r="O481" s="15" t="str">
        <f aca="false">IF(OR(M481="",N481=""),"",M481+N481)</f>
        <v/>
      </c>
      <c r="P481" s="16" t="str">
        <f aca="true">IF(O481="","",O481-TODAY())</f>
        <v/>
      </c>
      <c r="Q481" s="17" t="str">
        <f aca="false">IF(A481="","",TRIM(IF(E481="","No owner. ","")&amp;IF(F481="","No storage location. ","")&amp;IF(D481="","Serial missing. ","")&amp;IF(OR(H481="",H481="Undecided"),"No disposition. ","")&amp;IF(AND(H481="Ship",J481="",K481=""),"Shipping but no container/vehicle. ","")&amp;IF(AND(J481&lt;&gt;"",K481&lt;&gt;""),"In both a container and a vehicle. ","")&amp;IF(AND(H481="Ship",L481=""),"No destination. ","")&amp;IF(AND(J481&lt;&gt;"",L481&lt;&gt;"",IFERROR(VLOOKUP(J481,Containers!$A$5:$F$60,6,FALSE()),L481)&lt;&gt;L481),"Destination differs from container. ","")&amp;IF(AND(K481&lt;&gt;"",L481&lt;&gt;"",IFERROR(VLOOKUP(K481,Vehicles!$A$5:$F$60,6,FALSE()),L481)&lt;&gt;L481),"Destination differs from vehicle. ","")&amp;IF(AND(H481="Stay",OR(J481&lt;&gt;"",K481&lt;&gt;"",L481&lt;&gt;"")),"Marked Stay but has a container/vehicle/destination. ","")&amp;IF(G481="Missing","Reported missing. ","")&amp;IF(AND(P481&lt;&gt;"",N(P481)&lt;0),"Service overdue. ","")))</f>
        <v/>
      </c>
      <c r="S481" s="17" t="str">
        <f aca="false">IF(A481="","",IF(CHOOSE(MATCH(Find!$C$4,Lists!$K$2:$K$7,0),F481,E481,J481,K481,L481,G481)=Find!$C$5,MAX(S$4:S480)+1,""))</f>
        <v/>
      </c>
      <c r="T481" s="17" t="str">
        <f aca="false">IF(A481="","",IF(OR(J481=Manifest!$C$4,K481=Manifest!$C$4),MAX(T$4:T480)+1,""))</f>
        <v/>
      </c>
    </row>
    <row r="482" customFormat="false" ht="15" hidden="false" customHeight="false" outlineLevel="0" collapsed="false">
      <c r="C482" s="14"/>
      <c r="E482" s="14"/>
      <c r="F482" s="14"/>
      <c r="G482" s="14"/>
      <c r="H482" s="14"/>
      <c r="M482" s="12"/>
      <c r="O482" s="15" t="str">
        <f aca="false">IF(OR(M482="",N482=""),"",M482+N482)</f>
        <v/>
      </c>
      <c r="P482" s="16" t="str">
        <f aca="true">IF(O482="","",O482-TODAY())</f>
        <v/>
      </c>
      <c r="Q482" s="17" t="str">
        <f aca="false">IF(A482="","",TRIM(IF(E482="","No owner. ","")&amp;IF(F482="","No storage location. ","")&amp;IF(D482="","Serial missing. ","")&amp;IF(OR(H482="",H482="Undecided"),"No disposition. ","")&amp;IF(AND(H482="Ship",J482="",K482=""),"Shipping but no container/vehicle. ","")&amp;IF(AND(J482&lt;&gt;"",K482&lt;&gt;""),"In both a container and a vehicle. ","")&amp;IF(AND(H482="Ship",L482=""),"No destination. ","")&amp;IF(AND(J482&lt;&gt;"",L482&lt;&gt;"",IFERROR(VLOOKUP(J482,Containers!$A$5:$F$60,6,FALSE()),L482)&lt;&gt;L482),"Destination differs from container. ","")&amp;IF(AND(K482&lt;&gt;"",L482&lt;&gt;"",IFERROR(VLOOKUP(K482,Vehicles!$A$5:$F$60,6,FALSE()),L482)&lt;&gt;L482),"Destination differs from vehicle. ","")&amp;IF(AND(H482="Stay",OR(J482&lt;&gt;"",K482&lt;&gt;"",L482&lt;&gt;"")),"Marked Stay but has a container/vehicle/destination. ","")&amp;IF(G482="Missing","Reported missing. ","")&amp;IF(AND(P482&lt;&gt;"",N(P482)&lt;0),"Service overdue. ","")))</f>
        <v/>
      </c>
      <c r="S482" s="17" t="str">
        <f aca="false">IF(A482="","",IF(CHOOSE(MATCH(Find!$C$4,Lists!$K$2:$K$7,0),F482,E482,J482,K482,L482,G482)=Find!$C$5,MAX(S$4:S481)+1,""))</f>
        <v/>
      </c>
      <c r="T482" s="17" t="str">
        <f aca="false">IF(A482="","",IF(OR(J482=Manifest!$C$4,K482=Manifest!$C$4),MAX(T$4:T481)+1,""))</f>
        <v/>
      </c>
    </row>
    <row r="483" customFormat="false" ht="15" hidden="false" customHeight="false" outlineLevel="0" collapsed="false">
      <c r="C483" s="14"/>
      <c r="E483" s="14"/>
      <c r="F483" s="14"/>
      <c r="G483" s="14"/>
      <c r="H483" s="14"/>
      <c r="M483" s="12"/>
      <c r="O483" s="15" t="str">
        <f aca="false">IF(OR(M483="",N483=""),"",M483+N483)</f>
        <v/>
      </c>
      <c r="P483" s="16" t="str">
        <f aca="true">IF(O483="","",O483-TODAY())</f>
        <v/>
      </c>
      <c r="Q483" s="17" t="str">
        <f aca="false">IF(A483="","",TRIM(IF(E483="","No owner. ","")&amp;IF(F483="","No storage location. ","")&amp;IF(D483="","Serial missing. ","")&amp;IF(OR(H483="",H483="Undecided"),"No disposition. ","")&amp;IF(AND(H483="Ship",J483="",K483=""),"Shipping but no container/vehicle. ","")&amp;IF(AND(J483&lt;&gt;"",K483&lt;&gt;""),"In both a container and a vehicle. ","")&amp;IF(AND(H483="Ship",L483=""),"No destination. ","")&amp;IF(AND(J483&lt;&gt;"",L483&lt;&gt;"",IFERROR(VLOOKUP(J483,Containers!$A$5:$F$60,6,FALSE()),L483)&lt;&gt;L483),"Destination differs from container. ","")&amp;IF(AND(K483&lt;&gt;"",L483&lt;&gt;"",IFERROR(VLOOKUP(K483,Vehicles!$A$5:$F$60,6,FALSE()),L483)&lt;&gt;L483),"Destination differs from vehicle. ","")&amp;IF(AND(H483="Stay",OR(J483&lt;&gt;"",K483&lt;&gt;"",L483&lt;&gt;"")),"Marked Stay but has a container/vehicle/destination. ","")&amp;IF(G483="Missing","Reported missing. ","")&amp;IF(AND(P483&lt;&gt;"",N(P483)&lt;0),"Service overdue. ","")))</f>
        <v/>
      </c>
      <c r="S483" s="17" t="str">
        <f aca="false">IF(A483="","",IF(CHOOSE(MATCH(Find!$C$4,Lists!$K$2:$K$7,0),F483,E483,J483,K483,L483,G483)=Find!$C$5,MAX(S$4:S482)+1,""))</f>
        <v/>
      </c>
      <c r="T483" s="17" t="str">
        <f aca="false">IF(A483="","",IF(OR(J483=Manifest!$C$4,K483=Manifest!$C$4),MAX(T$4:T482)+1,""))</f>
        <v/>
      </c>
    </row>
    <row r="484" customFormat="false" ht="15" hidden="false" customHeight="false" outlineLevel="0" collapsed="false">
      <c r="C484" s="14"/>
      <c r="E484" s="14"/>
      <c r="F484" s="14"/>
      <c r="G484" s="14"/>
      <c r="H484" s="14"/>
      <c r="M484" s="12"/>
      <c r="O484" s="15" t="str">
        <f aca="false">IF(OR(M484="",N484=""),"",M484+N484)</f>
        <v/>
      </c>
      <c r="P484" s="16" t="str">
        <f aca="true">IF(O484="","",O484-TODAY())</f>
        <v/>
      </c>
      <c r="Q484" s="17" t="str">
        <f aca="false">IF(A484="","",TRIM(IF(E484="","No owner. ","")&amp;IF(F484="","No storage location. ","")&amp;IF(D484="","Serial missing. ","")&amp;IF(OR(H484="",H484="Undecided"),"No disposition. ","")&amp;IF(AND(H484="Ship",J484="",K484=""),"Shipping but no container/vehicle. ","")&amp;IF(AND(J484&lt;&gt;"",K484&lt;&gt;""),"In both a container and a vehicle. ","")&amp;IF(AND(H484="Ship",L484=""),"No destination. ","")&amp;IF(AND(J484&lt;&gt;"",L484&lt;&gt;"",IFERROR(VLOOKUP(J484,Containers!$A$5:$F$60,6,FALSE()),L484)&lt;&gt;L484),"Destination differs from container. ","")&amp;IF(AND(K484&lt;&gt;"",L484&lt;&gt;"",IFERROR(VLOOKUP(K484,Vehicles!$A$5:$F$60,6,FALSE()),L484)&lt;&gt;L484),"Destination differs from vehicle. ","")&amp;IF(AND(H484="Stay",OR(J484&lt;&gt;"",K484&lt;&gt;"",L484&lt;&gt;"")),"Marked Stay but has a container/vehicle/destination. ","")&amp;IF(G484="Missing","Reported missing. ","")&amp;IF(AND(P484&lt;&gt;"",N(P484)&lt;0),"Service overdue. ","")))</f>
        <v/>
      </c>
      <c r="S484" s="17" t="str">
        <f aca="false">IF(A484="","",IF(CHOOSE(MATCH(Find!$C$4,Lists!$K$2:$K$7,0),F484,E484,J484,K484,L484,G484)=Find!$C$5,MAX(S$4:S483)+1,""))</f>
        <v/>
      </c>
      <c r="T484" s="17" t="str">
        <f aca="false">IF(A484="","",IF(OR(J484=Manifest!$C$4,K484=Manifest!$C$4),MAX(T$4:T483)+1,""))</f>
        <v/>
      </c>
    </row>
    <row r="485" customFormat="false" ht="15" hidden="false" customHeight="false" outlineLevel="0" collapsed="false">
      <c r="C485" s="14"/>
      <c r="E485" s="14"/>
      <c r="F485" s="14"/>
      <c r="G485" s="14"/>
      <c r="H485" s="14"/>
      <c r="M485" s="12"/>
      <c r="O485" s="15" t="str">
        <f aca="false">IF(OR(M485="",N485=""),"",M485+N485)</f>
        <v/>
      </c>
      <c r="P485" s="16" t="str">
        <f aca="true">IF(O485="","",O485-TODAY())</f>
        <v/>
      </c>
      <c r="Q485" s="17" t="str">
        <f aca="false">IF(A485="","",TRIM(IF(E485="","No owner. ","")&amp;IF(F485="","No storage location. ","")&amp;IF(D485="","Serial missing. ","")&amp;IF(OR(H485="",H485="Undecided"),"No disposition. ","")&amp;IF(AND(H485="Ship",J485="",K485=""),"Shipping but no container/vehicle. ","")&amp;IF(AND(J485&lt;&gt;"",K485&lt;&gt;""),"In both a container and a vehicle. ","")&amp;IF(AND(H485="Ship",L485=""),"No destination. ","")&amp;IF(AND(J485&lt;&gt;"",L485&lt;&gt;"",IFERROR(VLOOKUP(J485,Containers!$A$5:$F$60,6,FALSE()),L485)&lt;&gt;L485),"Destination differs from container. ","")&amp;IF(AND(K485&lt;&gt;"",L485&lt;&gt;"",IFERROR(VLOOKUP(K485,Vehicles!$A$5:$F$60,6,FALSE()),L485)&lt;&gt;L485),"Destination differs from vehicle. ","")&amp;IF(AND(H485="Stay",OR(J485&lt;&gt;"",K485&lt;&gt;"",L485&lt;&gt;"")),"Marked Stay but has a container/vehicle/destination. ","")&amp;IF(G485="Missing","Reported missing. ","")&amp;IF(AND(P485&lt;&gt;"",N(P485)&lt;0),"Service overdue. ","")))</f>
        <v/>
      </c>
      <c r="S485" s="17" t="str">
        <f aca="false">IF(A485="","",IF(CHOOSE(MATCH(Find!$C$4,Lists!$K$2:$K$7,0),F485,E485,J485,K485,L485,G485)=Find!$C$5,MAX(S$4:S484)+1,""))</f>
        <v/>
      </c>
      <c r="T485" s="17" t="str">
        <f aca="false">IF(A485="","",IF(OR(J485=Manifest!$C$4,K485=Manifest!$C$4),MAX(T$4:T484)+1,""))</f>
        <v/>
      </c>
    </row>
    <row r="486" customFormat="false" ht="15" hidden="false" customHeight="false" outlineLevel="0" collapsed="false">
      <c r="C486" s="14"/>
      <c r="E486" s="14"/>
      <c r="F486" s="14"/>
      <c r="G486" s="14"/>
      <c r="H486" s="14"/>
      <c r="M486" s="12"/>
      <c r="O486" s="15" t="str">
        <f aca="false">IF(OR(M486="",N486=""),"",M486+N486)</f>
        <v/>
      </c>
      <c r="P486" s="16" t="str">
        <f aca="true">IF(O486="","",O486-TODAY())</f>
        <v/>
      </c>
      <c r="Q486" s="17" t="str">
        <f aca="false">IF(A486="","",TRIM(IF(E486="","No owner. ","")&amp;IF(F486="","No storage location. ","")&amp;IF(D486="","Serial missing. ","")&amp;IF(OR(H486="",H486="Undecided"),"No disposition. ","")&amp;IF(AND(H486="Ship",J486="",K486=""),"Shipping but no container/vehicle. ","")&amp;IF(AND(J486&lt;&gt;"",K486&lt;&gt;""),"In both a container and a vehicle. ","")&amp;IF(AND(H486="Ship",L486=""),"No destination. ","")&amp;IF(AND(J486&lt;&gt;"",L486&lt;&gt;"",IFERROR(VLOOKUP(J486,Containers!$A$5:$F$60,6,FALSE()),L486)&lt;&gt;L486),"Destination differs from container. ","")&amp;IF(AND(K486&lt;&gt;"",L486&lt;&gt;"",IFERROR(VLOOKUP(K486,Vehicles!$A$5:$F$60,6,FALSE()),L486)&lt;&gt;L486),"Destination differs from vehicle. ","")&amp;IF(AND(H486="Stay",OR(J486&lt;&gt;"",K486&lt;&gt;"",L486&lt;&gt;"")),"Marked Stay but has a container/vehicle/destination. ","")&amp;IF(G486="Missing","Reported missing. ","")&amp;IF(AND(P486&lt;&gt;"",N(P486)&lt;0),"Service overdue. ","")))</f>
        <v/>
      </c>
      <c r="S486" s="17" t="str">
        <f aca="false">IF(A486="","",IF(CHOOSE(MATCH(Find!$C$4,Lists!$K$2:$K$7,0),F486,E486,J486,K486,L486,G486)=Find!$C$5,MAX(S$4:S485)+1,""))</f>
        <v/>
      </c>
      <c r="T486" s="17" t="str">
        <f aca="false">IF(A486="","",IF(OR(J486=Manifest!$C$4,K486=Manifest!$C$4),MAX(T$4:T485)+1,""))</f>
        <v/>
      </c>
    </row>
    <row r="487" customFormat="false" ht="15" hidden="false" customHeight="false" outlineLevel="0" collapsed="false">
      <c r="C487" s="14"/>
      <c r="E487" s="14"/>
      <c r="F487" s="14"/>
      <c r="G487" s="14"/>
      <c r="H487" s="14"/>
      <c r="M487" s="12"/>
      <c r="O487" s="15" t="str">
        <f aca="false">IF(OR(M487="",N487=""),"",M487+N487)</f>
        <v/>
      </c>
      <c r="P487" s="16" t="str">
        <f aca="true">IF(O487="","",O487-TODAY())</f>
        <v/>
      </c>
      <c r="Q487" s="17" t="str">
        <f aca="false">IF(A487="","",TRIM(IF(E487="","No owner. ","")&amp;IF(F487="","No storage location. ","")&amp;IF(D487="","Serial missing. ","")&amp;IF(OR(H487="",H487="Undecided"),"No disposition. ","")&amp;IF(AND(H487="Ship",J487="",K487=""),"Shipping but no container/vehicle. ","")&amp;IF(AND(J487&lt;&gt;"",K487&lt;&gt;""),"In both a container and a vehicle. ","")&amp;IF(AND(H487="Ship",L487=""),"No destination. ","")&amp;IF(AND(J487&lt;&gt;"",L487&lt;&gt;"",IFERROR(VLOOKUP(J487,Containers!$A$5:$F$60,6,FALSE()),L487)&lt;&gt;L487),"Destination differs from container. ","")&amp;IF(AND(K487&lt;&gt;"",L487&lt;&gt;"",IFERROR(VLOOKUP(K487,Vehicles!$A$5:$F$60,6,FALSE()),L487)&lt;&gt;L487),"Destination differs from vehicle. ","")&amp;IF(AND(H487="Stay",OR(J487&lt;&gt;"",K487&lt;&gt;"",L487&lt;&gt;"")),"Marked Stay but has a container/vehicle/destination. ","")&amp;IF(G487="Missing","Reported missing. ","")&amp;IF(AND(P487&lt;&gt;"",N(P487)&lt;0),"Service overdue. ","")))</f>
        <v/>
      </c>
      <c r="S487" s="17" t="str">
        <f aca="false">IF(A487="","",IF(CHOOSE(MATCH(Find!$C$4,Lists!$K$2:$K$7,0),F487,E487,J487,K487,L487,G487)=Find!$C$5,MAX(S$4:S486)+1,""))</f>
        <v/>
      </c>
      <c r="T487" s="17" t="str">
        <f aca="false">IF(A487="","",IF(OR(J487=Manifest!$C$4,K487=Manifest!$C$4),MAX(T$4:T486)+1,""))</f>
        <v/>
      </c>
    </row>
    <row r="488" customFormat="false" ht="15" hidden="false" customHeight="false" outlineLevel="0" collapsed="false">
      <c r="C488" s="14"/>
      <c r="E488" s="14"/>
      <c r="F488" s="14"/>
      <c r="G488" s="14"/>
      <c r="H488" s="14"/>
      <c r="M488" s="12"/>
      <c r="O488" s="15" t="str">
        <f aca="false">IF(OR(M488="",N488=""),"",M488+N488)</f>
        <v/>
      </c>
      <c r="P488" s="16" t="str">
        <f aca="true">IF(O488="","",O488-TODAY())</f>
        <v/>
      </c>
      <c r="Q488" s="17" t="str">
        <f aca="false">IF(A488="","",TRIM(IF(E488="","No owner. ","")&amp;IF(F488="","No storage location. ","")&amp;IF(D488="","Serial missing. ","")&amp;IF(OR(H488="",H488="Undecided"),"No disposition. ","")&amp;IF(AND(H488="Ship",J488="",K488=""),"Shipping but no container/vehicle. ","")&amp;IF(AND(J488&lt;&gt;"",K488&lt;&gt;""),"In both a container and a vehicle. ","")&amp;IF(AND(H488="Ship",L488=""),"No destination. ","")&amp;IF(AND(J488&lt;&gt;"",L488&lt;&gt;"",IFERROR(VLOOKUP(J488,Containers!$A$5:$F$60,6,FALSE()),L488)&lt;&gt;L488),"Destination differs from container. ","")&amp;IF(AND(K488&lt;&gt;"",L488&lt;&gt;"",IFERROR(VLOOKUP(K488,Vehicles!$A$5:$F$60,6,FALSE()),L488)&lt;&gt;L488),"Destination differs from vehicle. ","")&amp;IF(AND(H488="Stay",OR(J488&lt;&gt;"",K488&lt;&gt;"",L488&lt;&gt;"")),"Marked Stay but has a container/vehicle/destination. ","")&amp;IF(G488="Missing","Reported missing. ","")&amp;IF(AND(P488&lt;&gt;"",N(P488)&lt;0),"Service overdue. ","")))</f>
        <v/>
      </c>
      <c r="S488" s="17" t="str">
        <f aca="false">IF(A488="","",IF(CHOOSE(MATCH(Find!$C$4,Lists!$K$2:$K$7,0),F488,E488,J488,K488,L488,G488)=Find!$C$5,MAX(S$4:S487)+1,""))</f>
        <v/>
      </c>
      <c r="T488" s="17" t="str">
        <f aca="false">IF(A488="","",IF(OR(J488=Manifest!$C$4,K488=Manifest!$C$4),MAX(T$4:T487)+1,""))</f>
        <v/>
      </c>
    </row>
    <row r="489" customFormat="false" ht="15" hidden="false" customHeight="false" outlineLevel="0" collapsed="false">
      <c r="C489" s="14"/>
      <c r="E489" s="14"/>
      <c r="F489" s="14"/>
      <c r="G489" s="14"/>
      <c r="H489" s="14"/>
      <c r="M489" s="12"/>
      <c r="O489" s="15" t="str">
        <f aca="false">IF(OR(M489="",N489=""),"",M489+N489)</f>
        <v/>
      </c>
      <c r="P489" s="16" t="str">
        <f aca="true">IF(O489="","",O489-TODAY())</f>
        <v/>
      </c>
      <c r="Q489" s="17" t="str">
        <f aca="false">IF(A489="","",TRIM(IF(E489="","No owner. ","")&amp;IF(F489="","No storage location. ","")&amp;IF(D489="","Serial missing. ","")&amp;IF(OR(H489="",H489="Undecided"),"No disposition. ","")&amp;IF(AND(H489="Ship",J489="",K489=""),"Shipping but no container/vehicle. ","")&amp;IF(AND(J489&lt;&gt;"",K489&lt;&gt;""),"In both a container and a vehicle. ","")&amp;IF(AND(H489="Ship",L489=""),"No destination. ","")&amp;IF(AND(J489&lt;&gt;"",L489&lt;&gt;"",IFERROR(VLOOKUP(J489,Containers!$A$5:$F$60,6,FALSE()),L489)&lt;&gt;L489),"Destination differs from container. ","")&amp;IF(AND(K489&lt;&gt;"",L489&lt;&gt;"",IFERROR(VLOOKUP(K489,Vehicles!$A$5:$F$60,6,FALSE()),L489)&lt;&gt;L489),"Destination differs from vehicle. ","")&amp;IF(AND(H489="Stay",OR(J489&lt;&gt;"",K489&lt;&gt;"",L489&lt;&gt;"")),"Marked Stay but has a container/vehicle/destination. ","")&amp;IF(G489="Missing","Reported missing. ","")&amp;IF(AND(P489&lt;&gt;"",N(P489)&lt;0),"Service overdue. ","")))</f>
        <v/>
      </c>
      <c r="S489" s="17" t="str">
        <f aca="false">IF(A489="","",IF(CHOOSE(MATCH(Find!$C$4,Lists!$K$2:$K$7,0),F489,E489,J489,K489,L489,G489)=Find!$C$5,MAX(S$4:S488)+1,""))</f>
        <v/>
      </c>
      <c r="T489" s="17" t="str">
        <f aca="false">IF(A489="","",IF(OR(J489=Manifest!$C$4,K489=Manifest!$C$4),MAX(T$4:T488)+1,""))</f>
        <v/>
      </c>
    </row>
    <row r="490" customFormat="false" ht="15" hidden="false" customHeight="false" outlineLevel="0" collapsed="false">
      <c r="C490" s="14"/>
      <c r="E490" s="14"/>
      <c r="F490" s="14"/>
      <c r="G490" s="14"/>
      <c r="H490" s="14"/>
      <c r="M490" s="12"/>
      <c r="O490" s="15" t="str">
        <f aca="false">IF(OR(M490="",N490=""),"",M490+N490)</f>
        <v/>
      </c>
      <c r="P490" s="16" t="str">
        <f aca="true">IF(O490="","",O490-TODAY())</f>
        <v/>
      </c>
      <c r="Q490" s="17" t="str">
        <f aca="false">IF(A490="","",TRIM(IF(E490="","No owner. ","")&amp;IF(F490="","No storage location. ","")&amp;IF(D490="","Serial missing. ","")&amp;IF(OR(H490="",H490="Undecided"),"No disposition. ","")&amp;IF(AND(H490="Ship",J490="",K490=""),"Shipping but no container/vehicle. ","")&amp;IF(AND(J490&lt;&gt;"",K490&lt;&gt;""),"In both a container and a vehicle. ","")&amp;IF(AND(H490="Ship",L490=""),"No destination. ","")&amp;IF(AND(J490&lt;&gt;"",L490&lt;&gt;"",IFERROR(VLOOKUP(J490,Containers!$A$5:$F$60,6,FALSE()),L490)&lt;&gt;L490),"Destination differs from container. ","")&amp;IF(AND(K490&lt;&gt;"",L490&lt;&gt;"",IFERROR(VLOOKUP(K490,Vehicles!$A$5:$F$60,6,FALSE()),L490)&lt;&gt;L490),"Destination differs from vehicle. ","")&amp;IF(AND(H490="Stay",OR(J490&lt;&gt;"",K490&lt;&gt;"",L490&lt;&gt;"")),"Marked Stay but has a container/vehicle/destination. ","")&amp;IF(G490="Missing","Reported missing. ","")&amp;IF(AND(P490&lt;&gt;"",N(P490)&lt;0),"Service overdue. ","")))</f>
        <v/>
      </c>
      <c r="S490" s="17" t="str">
        <f aca="false">IF(A490="","",IF(CHOOSE(MATCH(Find!$C$4,Lists!$K$2:$K$7,0),F490,E490,J490,K490,L490,G490)=Find!$C$5,MAX(S$4:S489)+1,""))</f>
        <v/>
      </c>
      <c r="T490" s="17" t="str">
        <f aca="false">IF(A490="","",IF(OR(J490=Manifest!$C$4,K490=Manifest!$C$4),MAX(T$4:T489)+1,""))</f>
        <v/>
      </c>
    </row>
    <row r="491" customFormat="false" ht="15" hidden="false" customHeight="false" outlineLevel="0" collapsed="false">
      <c r="C491" s="14"/>
      <c r="E491" s="14"/>
      <c r="F491" s="14"/>
      <c r="G491" s="14"/>
      <c r="H491" s="14"/>
      <c r="M491" s="12"/>
      <c r="O491" s="15" t="str">
        <f aca="false">IF(OR(M491="",N491=""),"",M491+N491)</f>
        <v/>
      </c>
      <c r="P491" s="16" t="str">
        <f aca="true">IF(O491="","",O491-TODAY())</f>
        <v/>
      </c>
      <c r="Q491" s="17" t="str">
        <f aca="false">IF(A491="","",TRIM(IF(E491="","No owner. ","")&amp;IF(F491="","No storage location. ","")&amp;IF(D491="","Serial missing. ","")&amp;IF(OR(H491="",H491="Undecided"),"No disposition. ","")&amp;IF(AND(H491="Ship",J491="",K491=""),"Shipping but no container/vehicle. ","")&amp;IF(AND(J491&lt;&gt;"",K491&lt;&gt;""),"In both a container and a vehicle. ","")&amp;IF(AND(H491="Ship",L491=""),"No destination. ","")&amp;IF(AND(J491&lt;&gt;"",L491&lt;&gt;"",IFERROR(VLOOKUP(J491,Containers!$A$5:$F$60,6,FALSE()),L491)&lt;&gt;L491),"Destination differs from container. ","")&amp;IF(AND(K491&lt;&gt;"",L491&lt;&gt;"",IFERROR(VLOOKUP(K491,Vehicles!$A$5:$F$60,6,FALSE()),L491)&lt;&gt;L491),"Destination differs from vehicle. ","")&amp;IF(AND(H491="Stay",OR(J491&lt;&gt;"",K491&lt;&gt;"",L491&lt;&gt;"")),"Marked Stay but has a container/vehicle/destination. ","")&amp;IF(G491="Missing","Reported missing. ","")&amp;IF(AND(P491&lt;&gt;"",N(P491)&lt;0),"Service overdue. ","")))</f>
        <v/>
      </c>
      <c r="S491" s="17" t="str">
        <f aca="false">IF(A491="","",IF(CHOOSE(MATCH(Find!$C$4,Lists!$K$2:$K$7,0),F491,E491,J491,K491,L491,G491)=Find!$C$5,MAX(S$4:S490)+1,""))</f>
        <v/>
      </c>
      <c r="T491" s="17" t="str">
        <f aca="false">IF(A491="","",IF(OR(J491=Manifest!$C$4,K491=Manifest!$C$4),MAX(T$4:T490)+1,""))</f>
        <v/>
      </c>
    </row>
    <row r="492" customFormat="false" ht="15" hidden="false" customHeight="false" outlineLevel="0" collapsed="false">
      <c r="C492" s="14"/>
      <c r="E492" s="14"/>
      <c r="F492" s="14"/>
      <c r="G492" s="14"/>
      <c r="H492" s="14"/>
      <c r="M492" s="12"/>
      <c r="O492" s="15" t="str">
        <f aca="false">IF(OR(M492="",N492=""),"",M492+N492)</f>
        <v/>
      </c>
      <c r="P492" s="16" t="str">
        <f aca="true">IF(O492="","",O492-TODAY())</f>
        <v/>
      </c>
      <c r="Q492" s="17" t="str">
        <f aca="false">IF(A492="","",TRIM(IF(E492="","No owner. ","")&amp;IF(F492="","No storage location. ","")&amp;IF(D492="","Serial missing. ","")&amp;IF(OR(H492="",H492="Undecided"),"No disposition. ","")&amp;IF(AND(H492="Ship",J492="",K492=""),"Shipping but no container/vehicle. ","")&amp;IF(AND(J492&lt;&gt;"",K492&lt;&gt;""),"In both a container and a vehicle. ","")&amp;IF(AND(H492="Ship",L492=""),"No destination. ","")&amp;IF(AND(J492&lt;&gt;"",L492&lt;&gt;"",IFERROR(VLOOKUP(J492,Containers!$A$5:$F$60,6,FALSE()),L492)&lt;&gt;L492),"Destination differs from container. ","")&amp;IF(AND(K492&lt;&gt;"",L492&lt;&gt;"",IFERROR(VLOOKUP(K492,Vehicles!$A$5:$F$60,6,FALSE()),L492)&lt;&gt;L492),"Destination differs from vehicle. ","")&amp;IF(AND(H492="Stay",OR(J492&lt;&gt;"",K492&lt;&gt;"",L492&lt;&gt;"")),"Marked Stay but has a container/vehicle/destination. ","")&amp;IF(G492="Missing","Reported missing. ","")&amp;IF(AND(P492&lt;&gt;"",N(P492)&lt;0),"Service overdue. ","")))</f>
        <v/>
      </c>
      <c r="S492" s="17" t="str">
        <f aca="false">IF(A492="","",IF(CHOOSE(MATCH(Find!$C$4,Lists!$K$2:$K$7,0),F492,E492,J492,K492,L492,G492)=Find!$C$5,MAX(S$4:S491)+1,""))</f>
        <v/>
      </c>
      <c r="T492" s="17" t="str">
        <f aca="false">IF(A492="","",IF(OR(J492=Manifest!$C$4,K492=Manifest!$C$4),MAX(T$4:T491)+1,""))</f>
        <v/>
      </c>
    </row>
    <row r="493" customFormat="false" ht="15" hidden="false" customHeight="false" outlineLevel="0" collapsed="false">
      <c r="C493" s="14"/>
      <c r="E493" s="14"/>
      <c r="F493" s="14"/>
      <c r="G493" s="14"/>
      <c r="H493" s="14"/>
      <c r="M493" s="12"/>
      <c r="O493" s="15" t="str">
        <f aca="false">IF(OR(M493="",N493=""),"",M493+N493)</f>
        <v/>
      </c>
      <c r="P493" s="16" t="str">
        <f aca="true">IF(O493="","",O493-TODAY())</f>
        <v/>
      </c>
      <c r="Q493" s="17" t="str">
        <f aca="false">IF(A493="","",TRIM(IF(E493="","No owner. ","")&amp;IF(F493="","No storage location. ","")&amp;IF(D493="","Serial missing. ","")&amp;IF(OR(H493="",H493="Undecided"),"No disposition. ","")&amp;IF(AND(H493="Ship",J493="",K493=""),"Shipping but no container/vehicle. ","")&amp;IF(AND(J493&lt;&gt;"",K493&lt;&gt;""),"In both a container and a vehicle. ","")&amp;IF(AND(H493="Ship",L493=""),"No destination. ","")&amp;IF(AND(J493&lt;&gt;"",L493&lt;&gt;"",IFERROR(VLOOKUP(J493,Containers!$A$5:$F$60,6,FALSE()),L493)&lt;&gt;L493),"Destination differs from container. ","")&amp;IF(AND(K493&lt;&gt;"",L493&lt;&gt;"",IFERROR(VLOOKUP(K493,Vehicles!$A$5:$F$60,6,FALSE()),L493)&lt;&gt;L493),"Destination differs from vehicle. ","")&amp;IF(AND(H493="Stay",OR(J493&lt;&gt;"",K493&lt;&gt;"",L493&lt;&gt;"")),"Marked Stay but has a container/vehicle/destination. ","")&amp;IF(G493="Missing","Reported missing. ","")&amp;IF(AND(P493&lt;&gt;"",N(P493)&lt;0),"Service overdue. ","")))</f>
        <v/>
      </c>
      <c r="S493" s="17" t="str">
        <f aca="false">IF(A493="","",IF(CHOOSE(MATCH(Find!$C$4,Lists!$K$2:$K$7,0),F493,E493,J493,K493,L493,G493)=Find!$C$5,MAX(S$4:S492)+1,""))</f>
        <v/>
      </c>
      <c r="T493" s="17" t="str">
        <f aca="false">IF(A493="","",IF(OR(J493=Manifest!$C$4,K493=Manifest!$C$4),MAX(T$4:T492)+1,""))</f>
        <v/>
      </c>
    </row>
    <row r="494" customFormat="false" ht="15" hidden="false" customHeight="false" outlineLevel="0" collapsed="false">
      <c r="C494" s="14"/>
      <c r="E494" s="14"/>
      <c r="F494" s="14"/>
      <c r="G494" s="14"/>
      <c r="H494" s="14"/>
      <c r="M494" s="12"/>
      <c r="O494" s="15" t="str">
        <f aca="false">IF(OR(M494="",N494=""),"",M494+N494)</f>
        <v/>
      </c>
      <c r="P494" s="16" t="str">
        <f aca="true">IF(O494="","",O494-TODAY())</f>
        <v/>
      </c>
      <c r="Q494" s="17" t="str">
        <f aca="false">IF(A494="","",TRIM(IF(E494="","No owner. ","")&amp;IF(F494="","No storage location. ","")&amp;IF(D494="","Serial missing. ","")&amp;IF(OR(H494="",H494="Undecided"),"No disposition. ","")&amp;IF(AND(H494="Ship",J494="",K494=""),"Shipping but no container/vehicle. ","")&amp;IF(AND(J494&lt;&gt;"",K494&lt;&gt;""),"In both a container and a vehicle. ","")&amp;IF(AND(H494="Ship",L494=""),"No destination. ","")&amp;IF(AND(J494&lt;&gt;"",L494&lt;&gt;"",IFERROR(VLOOKUP(J494,Containers!$A$5:$F$60,6,FALSE()),L494)&lt;&gt;L494),"Destination differs from container. ","")&amp;IF(AND(K494&lt;&gt;"",L494&lt;&gt;"",IFERROR(VLOOKUP(K494,Vehicles!$A$5:$F$60,6,FALSE()),L494)&lt;&gt;L494),"Destination differs from vehicle. ","")&amp;IF(AND(H494="Stay",OR(J494&lt;&gt;"",K494&lt;&gt;"",L494&lt;&gt;"")),"Marked Stay but has a container/vehicle/destination. ","")&amp;IF(G494="Missing","Reported missing. ","")&amp;IF(AND(P494&lt;&gt;"",N(P494)&lt;0),"Service overdue. ","")))</f>
        <v/>
      </c>
      <c r="S494" s="17" t="str">
        <f aca="false">IF(A494="","",IF(CHOOSE(MATCH(Find!$C$4,Lists!$K$2:$K$7,0),F494,E494,J494,K494,L494,G494)=Find!$C$5,MAX(S$4:S493)+1,""))</f>
        <v/>
      </c>
      <c r="T494" s="17" t="str">
        <f aca="false">IF(A494="","",IF(OR(J494=Manifest!$C$4,K494=Manifest!$C$4),MAX(T$4:T493)+1,""))</f>
        <v/>
      </c>
    </row>
    <row r="495" customFormat="false" ht="15" hidden="false" customHeight="false" outlineLevel="0" collapsed="false">
      <c r="C495" s="14"/>
      <c r="E495" s="14"/>
      <c r="F495" s="14"/>
      <c r="G495" s="14"/>
      <c r="H495" s="14"/>
      <c r="M495" s="12"/>
      <c r="O495" s="15" t="str">
        <f aca="false">IF(OR(M495="",N495=""),"",M495+N495)</f>
        <v/>
      </c>
      <c r="P495" s="16" t="str">
        <f aca="true">IF(O495="","",O495-TODAY())</f>
        <v/>
      </c>
      <c r="Q495" s="17" t="str">
        <f aca="false">IF(A495="","",TRIM(IF(E495="","No owner. ","")&amp;IF(F495="","No storage location. ","")&amp;IF(D495="","Serial missing. ","")&amp;IF(OR(H495="",H495="Undecided"),"No disposition. ","")&amp;IF(AND(H495="Ship",J495="",K495=""),"Shipping but no container/vehicle. ","")&amp;IF(AND(J495&lt;&gt;"",K495&lt;&gt;""),"In both a container and a vehicle. ","")&amp;IF(AND(H495="Ship",L495=""),"No destination. ","")&amp;IF(AND(J495&lt;&gt;"",L495&lt;&gt;"",IFERROR(VLOOKUP(J495,Containers!$A$5:$F$60,6,FALSE()),L495)&lt;&gt;L495),"Destination differs from container. ","")&amp;IF(AND(K495&lt;&gt;"",L495&lt;&gt;"",IFERROR(VLOOKUP(K495,Vehicles!$A$5:$F$60,6,FALSE()),L495)&lt;&gt;L495),"Destination differs from vehicle. ","")&amp;IF(AND(H495="Stay",OR(J495&lt;&gt;"",K495&lt;&gt;"",L495&lt;&gt;"")),"Marked Stay but has a container/vehicle/destination. ","")&amp;IF(G495="Missing","Reported missing. ","")&amp;IF(AND(P495&lt;&gt;"",N(P495)&lt;0),"Service overdue. ","")))</f>
        <v/>
      </c>
      <c r="S495" s="17" t="str">
        <f aca="false">IF(A495="","",IF(CHOOSE(MATCH(Find!$C$4,Lists!$K$2:$K$7,0),F495,E495,J495,K495,L495,G495)=Find!$C$5,MAX(S$4:S494)+1,""))</f>
        <v/>
      </c>
      <c r="T495" s="17" t="str">
        <f aca="false">IF(A495="","",IF(OR(J495=Manifest!$C$4,K495=Manifest!$C$4),MAX(T$4:T494)+1,""))</f>
        <v/>
      </c>
    </row>
    <row r="496" customFormat="false" ht="15" hidden="false" customHeight="false" outlineLevel="0" collapsed="false">
      <c r="C496" s="14"/>
      <c r="E496" s="14"/>
      <c r="F496" s="14"/>
      <c r="G496" s="14"/>
      <c r="H496" s="14"/>
      <c r="M496" s="12"/>
      <c r="O496" s="15" t="str">
        <f aca="false">IF(OR(M496="",N496=""),"",M496+N496)</f>
        <v/>
      </c>
      <c r="P496" s="16" t="str">
        <f aca="true">IF(O496="","",O496-TODAY())</f>
        <v/>
      </c>
      <c r="Q496" s="17" t="str">
        <f aca="false">IF(A496="","",TRIM(IF(E496="","No owner. ","")&amp;IF(F496="","No storage location. ","")&amp;IF(D496="","Serial missing. ","")&amp;IF(OR(H496="",H496="Undecided"),"No disposition. ","")&amp;IF(AND(H496="Ship",J496="",K496=""),"Shipping but no container/vehicle. ","")&amp;IF(AND(J496&lt;&gt;"",K496&lt;&gt;""),"In both a container and a vehicle. ","")&amp;IF(AND(H496="Ship",L496=""),"No destination. ","")&amp;IF(AND(J496&lt;&gt;"",L496&lt;&gt;"",IFERROR(VLOOKUP(J496,Containers!$A$5:$F$60,6,FALSE()),L496)&lt;&gt;L496),"Destination differs from container. ","")&amp;IF(AND(K496&lt;&gt;"",L496&lt;&gt;"",IFERROR(VLOOKUP(K496,Vehicles!$A$5:$F$60,6,FALSE()),L496)&lt;&gt;L496),"Destination differs from vehicle. ","")&amp;IF(AND(H496="Stay",OR(J496&lt;&gt;"",K496&lt;&gt;"",L496&lt;&gt;"")),"Marked Stay but has a container/vehicle/destination. ","")&amp;IF(G496="Missing","Reported missing. ","")&amp;IF(AND(P496&lt;&gt;"",N(P496)&lt;0),"Service overdue. ","")))</f>
        <v/>
      </c>
      <c r="S496" s="17" t="str">
        <f aca="false">IF(A496="","",IF(CHOOSE(MATCH(Find!$C$4,Lists!$K$2:$K$7,0),F496,E496,J496,K496,L496,G496)=Find!$C$5,MAX(S$4:S495)+1,""))</f>
        <v/>
      </c>
      <c r="T496" s="17" t="str">
        <f aca="false">IF(A496="","",IF(OR(J496=Manifest!$C$4,K496=Manifest!$C$4),MAX(T$4:T495)+1,""))</f>
        <v/>
      </c>
    </row>
    <row r="497" customFormat="false" ht="15" hidden="false" customHeight="false" outlineLevel="0" collapsed="false">
      <c r="C497" s="14"/>
      <c r="E497" s="14"/>
      <c r="F497" s="14"/>
      <c r="G497" s="14"/>
      <c r="H497" s="14"/>
      <c r="M497" s="12"/>
      <c r="O497" s="15" t="str">
        <f aca="false">IF(OR(M497="",N497=""),"",M497+N497)</f>
        <v/>
      </c>
      <c r="P497" s="16" t="str">
        <f aca="true">IF(O497="","",O497-TODAY())</f>
        <v/>
      </c>
      <c r="Q497" s="17" t="str">
        <f aca="false">IF(A497="","",TRIM(IF(E497="","No owner. ","")&amp;IF(F497="","No storage location. ","")&amp;IF(D497="","Serial missing. ","")&amp;IF(OR(H497="",H497="Undecided"),"No disposition. ","")&amp;IF(AND(H497="Ship",J497="",K497=""),"Shipping but no container/vehicle. ","")&amp;IF(AND(J497&lt;&gt;"",K497&lt;&gt;""),"In both a container and a vehicle. ","")&amp;IF(AND(H497="Ship",L497=""),"No destination. ","")&amp;IF(AND(J497&lt;&gt;"",L497&lt;&gt;"",IFERROR(VLOOKUP(J497,Containers!$A$5:$F$60,6,FALSE()),L497)&lt;&gt;L497),"Destination differs from container. ","")&amp;IF(AND(K497&lt;&gt;"",L497&lt;&gt;"",IFERROR(VLOOKUP(K497,Vehicles!$A$5:$F$60,6,FALSE()),L497)&lt;&gt;L497),"Destination differs from vehicle. ","")&amp;IF(AND(H497="Stay",OR(J497&lt;&gt;"",K497&lt;&gt;"",L497&lt;&gt;"")),"Marked Stay but has a container/vehicle/destination. ","")&amp;IF(G497="Missing","Reported missing. ","")&amp;IF(AND(P497&lt;&gt;"",N(P497)&lt;0),"Service overdue. ","")))</f>
        <v/>
      </c>
      <c r="S497" s="17" t="str">
        <f aca="false">IF(A497="","",IF(CHOOSE(MATCH(Find!$C$4,Lists!$K$2:$K$7,0),F497,E497,J497,K497,L497,G497)=Find!$C$5,MAX(S$4:S496)+1,""))</f>
        <v/>
      </c>
      <c r="T497" s="17" t="str">
        <f aca="false">IF(A497="","",IF(OR(J497=Manifest!$C$4,K497=Manifest!$C$4),MAX(T$4:T496)+1,""))</f>
        <v/>
      </c>
    </row>
    <row r="498" customFormat="false" ht="15" hidden="false" customHeight="false" outlineLevel="0" collapsed="false">
      <c r="C498" s="14"/>
      <c r="E498" s="14"/>
      <c r="F498" s="14"/>
      <c r="G498" s="14"/>
      <c r="H498" s="14"/>
      <c r="M498" s="12"/>
      <c r="O498" s="15" t="str">
        <f aca="false">IF(OR(M498="",N498=""),"",M498+N498)</f>
        <v/>
      </c>
      <c r="P498" s="16" t="str">
        <f aca="true">IF(O498="","",O498-TODAY())</f>
        <v/>
      </c>
      <c r="Q498" s="17" t="str">
        <f aca="false">IF(A498="","",TRIM(IF(E498="","No owner. ","")&amp;IF(F498="","No storage location. ","")&amp;IF(D498="","Serial missing. ","")&amp;IF(OR(H498="",H498="Undecided"),"No disposition. ","")&amp;IF(AND(H498="Ship",J498="",K498=""),"Shipping but no container/vehicle. ","")&amp;IF(AND(J498&lt;&gt;"",K498&lt;&gt;""),"In both a container and a vehicle. ","")&amp;IF(AND(H498="Ship",L498=""),"No destination. ","")&amp;IF(AND(J498&lt;&gt;"",L498&lt;&gt;"",IFERROR(VLOOKUP(J498,Containers!$A$5:$F$60,6,FALSE()),L498)&lt;&gt;L498),"Destination differs from container. ","")&amp;IF(AND(K498&lt;&gt;"",L498&lt;&gt;"",IFERROR(VLOOKUP(K498,Vehicles!$A$5:$F$60,6,FALSE()),L498)&lt;&gt;L498),"Destination differs from vehicle. ","")&amp;IF(AND(H498="Stay",OR(J498&lt;&gt;"",K498&lt;&gt;"",L498&lt;&gt;"")),"Marked Stay but has a container/vehicle/destination. ","")&amp;IF(G498="Missing","Reported missing. ","")&amp;IF(AND(P498&lt;&gt;"",N(P498)&lt;0),"Service overdue. ","")))</f>
        <v/>
      </c>
      <c r="S498" s="17" t="str">
        <f aca="false">IF(A498="","",IF(CHOOSE(MATCH(Find!$C$4,Lists!$K$2:$K$7,0),F498,E498,J498,K498,L498,G498)=Find!$C$5,MAX(S$4:S497)+1,""))</f>
        <v/>
      </c>
      <c r="T498" s="17" t="str">
        <f aca="false">IF(A498="","",IF(OR(J498=Manifest!$C$4,K498=Manifest!$C$4),MAX(T$4:T497)+1,""))</f>
        <v/>
      </c>
    </row>
    <row r="499" customFormat="false" ht="15" hidden="false" customHeight="false" outlineLevel="0" collapsed="false">
      <c r="C499" s="14"/>
      <c r="E499" s="14"/>
      <c r="F499" s="14"/>
      <c r="G499" s="14"/>
      <c r="H499" s="14"/>
      <c r="M499" s="12"/>
      <c r="O499" s="15" t="str">
        <f aca="false">IF(OR(M499="",N499=""),"",M499+N499)</f>
        <v/>
      </c>
      <c r="P499" s="16" t="str">
        <f aca="true">IF(O499="","",O499-TODAY())</f>
        <v/>
      </c>
      <c r="Q499" s="17" t="str">
        <f aca="false">IF(A499="","",TRIM(IF(E499="","No owner. ","")&amp;IF(F499="","No storage location. ","")&amp;IF(D499="","Serial missing. ","")&amp;IF(OR(H499="",H499="Undecided"),"No disposition. ","")&amp;IF(AND(H499="Ship",J499="",K499=""),"Shipping but no container/vehicle. ","")&amp;IF(AND(J499&lt;&gt;"",K499&lt;&gt;""),"In both a container and a vehicle. ","")&amp;IF(AND(H499="Ship",L499=""),"No destination. ","")&amp;IF(AND(J499&lt;&gt;"",L499&lt;&gt;"",IFERROR(VLOOKUP(J499,Containers!$A$5:$F$60,6,FALSE()),L499)&lt;&gt;L499),"Destination differs from container. ","")&amp;IF(AND(K499&lt;&gt;"",L499&lt;&gt;"",IFERROR(VLOOKUP(K499,Vehicles!$A$5:$F$60,6,FALSE()),L499)&lt;&gt;L499),"Destination differs from vehicle. ","")&amp;IF(AND(H499="Stay",OR(J499&lt;&gt;"",K499&lt;&gt;"",L499&lt;&gt;"")),"Marked Stay but has a container/vehicle/destination. ","")&amp;IF(G499="Missing","Reported missing. ","")&amp;IF(AND(P499&lt;&gt;"",N(P499)&lt;0),"Service overdue. ","")))</f>
        <v/>
      </c>
      <c r="S499" s="17" t="str">
        <f aca="false">IF(A499="","",IF(CHOOSE(MATCH(Find!$C$4,Lists!$K$2:$K$7,0),F499,E499,J499,K499,L499,G499)=Find!$C$5,MAX(S$4:S498)+1,""))</f>
        <v/>
      </c>
      <c r="T499" s="17" t="str">
        <f aca="false">IF(A499="","",IF(OR(J499=Manifest!$C$4,K499=Manifest!$C$4),MAX(T$4:T498)+1,""))</f>
        <v/>
      </c>
    </row>
    <row r="500" customFormat="false" ht="15" hidden="false" customHeight="false" outlineLevel="0" collapsed="false">
      <c r="C500" s="14"/>
      <c r="E500" s="14"/>
      <c r="F500" s="14"/>
      <c r="G500" s="14"/>
      <c r="H500" s="14"/>
      <c r="M500" s="12"/>
      <c r="O500" s="15" t="str">
        <f aca="false">IF(OR(M500="",N500=""),"",M500+N500)</f>
        <v/>
      </c>
      <c r="P500" s="16" t="str">
        <f aca="true">IF(O500="","",O500-TODAY())</f>
        <v/>
      </c>
      <c r="Q500" s="17" t="str">
        <f aca="false">IF(A500="","",TRIM(IF(E500="","No owner. ","")&amp;IF(F500="","No storage location. ","")&amp;IF(D500="","Serial missing. ","")&amp;IF(OR(H500="",H500="Undecided"),"No disposition. ","")&amp;IF(AND(H500="Ship",J500="",K500=""),"Shipping but no container/vehicle. ","")&amp;IF(AND(J500&lt;&gt;"",K500&lt;&gt;""),"In both a container and a vehicle. ","")&amp;IF(AND(H500="Ship",L500=""),"No destination. ","")&amp;IF(AND(J500&lt;&gt;"",L500&lt;&gt;"",IFERROR(VLOOKUP(J500,Containers!$A$5:$F$60,6,FALSE()),L500)&lt;&gt;L500),"Destination differs from container. ","")&amp;IF(AND(K500&lt;&gt;"",L500&lt;&gt;"",IFERROR(VLOOKUP(K500,Vehicles!$A$5:$F$60,6,FALSE()),L500)&lt;&gt;L500),"Destination differs from vehicle. ","")&amp;IF(AND(H500="Stay",OR(J500&lt;&gt;"",K500&lt;&gt;"",L500&lt;&gt;"")),"Marked Stay but has a container/vehicle/destination. ","")&amp;IF(G500="Missing","Reported missing. ","")&amp;IF(AND(P500&lt;&gt;"",N(P500)&lt;0),"Service overdue. ","")))</f>
        <v/>
      </c>
      <c r="S500" s="17" t="str">
        <f aca="false">IF(A500="","",IF(CHOOSE(MATCH(Find!$C$4,Lists!$K$2:$K$7,0),F500,E500,J500,K500,L500,G500)=Find!$C$5,MAX(S$4:S499)+1,""))</f>
        <v/>
      </c>
      <c r="T500" s="17" t="str">
        <f aca="false">IF(A500="","",IF(OR(J500=Manifest!$C$4,K500=Manifest!$C$4),MAX(T$4:T499)+1,""))</f>
        <v/>
      </c>
    </row>
  </sheetData>
  <conditionalFormatting sqref="O5:P500">
    <cfRule type="expression" priority="2" aboveAverage="0" equalAverage="0" bottom="0" percent="0" rank="0" text="" dxfId="0">
      <formula>AND($P5&lt;&gt;"",N($P5)&lt;0)</formula>
    </cfRule>
    <cfRule type="expression" priority="3" aboveAverage="0" equalAverage="0" bottom="0" percent="0" rank="0" text="" dxfId="9">
      <formula>AND($P5&lt;&gt;"",N($P5)&gt;=0,N($P5)&lt;=30)</formula>
    </cfRule>
  </conditionalFormatting>
  <conditionalFormatting sqref="Q5:Q500">
    <cfRule type="expression" priority="4" aboveAverage="0" equalAverage="0" bottom="0" percent="0" rank="0" text="" dxfId="0">
      <formula>LEN($Q5)&gt;0</formula>
    </cfRule>
  </conditionalFormatting>
  <conditionalFormatting sqref="G5:G500">
    <cfRule type="cellIs" priority="5" operator="equal" aboveAverage="0" equalAverage="0" bottom="0" percent="0" rank="0" text="" dxfId="10">
      <formula>"Delivered"</formula>
    </cfRule>
    <cfRule type="cellIs" priority="6" operator="equal" aboveAverage="0" equalAverage="0" bottom="0" percent="0" rank="0" text="" dxfId="0">
      <formula>"Missing"</formula>
    </cfRule>
  </conditionalFormatting>
  <conditionalFormatting sqref="H5:H500">
    <cfRule type="expression" priority="7" aboveAverage="0" equalAverage="0" bottom="0" percent="0" rank="0" text="" dxfId="9">
      <formula>AND($A5&lt;&gt;"",OR($H5="",$H5="Undecided"))</formula>
    </cfRule>
  </conditionalFormatting>
  <dataValidations count="9">
    <dataValidation allowBlank="true" error="Pick a value from the Category list (sheet Lists)." errorStyle="stop" errorTitle="Not in list" operator="between" showDropDown="false" showErrorMessage="true" showInputMessage="false" sqref="C5:C500" type="list">
      <formula1>Lists!$H$2:$H$30</formula1>
      <formula2>0</formula2>
    </dataValidation>
    <dataValidation allowBlank="true" error="Pick a value from the People list (sheet Lists)." errorStyle="stop" errorTitle="Not in list" operator="between" showDropDown="false" showErrorMessage="true" showInputMessage="false" sqref="E5:E500" type="list">
      <formula1>Lists!$C$2:$C$30</formula1>
      <formula2>0</formula2>
    </dataValidation>
    <dataValidation allowBlank="true" error="Pick a value from the Storage locations list (sheet Lists)." errorStyle="stop" errorTitle="Not in list" operator="between" showDropDown="false" showErrorMessage="true" showInputMessage="false" sqref="F5:F500" type="list">
      <formula1>Lists!$A$2:$A$30</formula1>
      <formula2>0</formula2>
    </dataValidation>
    <dataValidation allowBlank="true" error="Pick a value from the Equipment status list (sheet Lists)." errorStyle="stop" errorTitle="Not in list" operator="between" showDropDown="false" showErrorMessage="true" showInputMessage="false" sqref="G5:G500" type="list">
      <formula1>Lists!$D$2:$D$30</formula1>
      <formula2>0</formula2>
    </dataValidation>
    <dataValidation allowBlank="true" error="Pick a value from the Disposition list (sheet Lists)." errorStyle="stop" errorTitle="Not in list" operator="between" showDropDown="false" showErrorMessage="true" showInputMessage="false" sqref="H5:H500" type="list">
      <formula1>Lists!$E$2:$E$30</formula1>
      <formula2>0</formula2>
    </dataValidation>
    <dataValidation allowBlank="true" error="Pick a value from the Packed in list (sheet Lists)." errorStyle="stop" errorTitle="Not in list" operator="between" showDropDown="false" showErrorMessage="true" showInputMessage="false" sqref="I5:I500" type="list">
      <formula1>"Container,Vehicle,Hand carry"</formula1>
      <formula2>0</formula2>
    </dataValidation>
    <dataValidation allowBlank="true" error="Pick a value from the Containers list (sheet Lists)." errorStyle="stop" errorTitle="Not in list" operator="between" showDropDown="false" showErrorMessage="true" showInputMessage="false" sqref="J5:J500" type="list">
      <formula1>Containers!$A$5:$A$60</formula1>
      <formula2>0</formula2>
    </dataValidation>
    <dataValidation allowBlank="true" error="Pick a value from the Vehicles list (sheet Lists)." errorStyle="stop" errorTitle="Not in list" operator="between" showDropDown="false" showErrorMessage="true" showInputMessage="false" sqref="K5:K500" type="list">
      <formula1>Vehicles!$A$5:$A$60</formula1>
      <formula2>0</formula2>
    </dataValidation>
    <dataValidation allowBlank="true" error="Pick a value from the Destinations list (sheet Lists)." errorStyle="stop" errorTitle="Not in list" operator="between" showDropDown="false" showErrorMessage="true" showInputMessage="false" sqref="L5:L500" type="list">
      <formula1>Lists!$B$2:$B$30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1" min="1" style="0" width="20"/>
  </cols>
  <sheetData>
    <row r="1" customFormat="false" ht="15" hidden="false" customHeight="false" outlineLevel="0" collapsed="false">
      <c r="A1" s="11" t="s">
        <v>264</v>
      </c>
      <c r="B1" s="11" t="s">
        <v>265</v>
      </c>
      <c r="C1" s="11" t="s">
        <v>266</v>
      </c>
      <c r="D1" s="11" t="s">
        <v>267</v>
      </c>
      <c r="E1" s="11" t="s">
        <v>96</v>
      </c>
      <c r="F1" s="11" t="s">
        <v>53</v>
      </c>
      <c r="G1" s="11" t="s">
        <v>76</v>
      </c>
      <c r="H1" s="11" t="s">
        <v>110</v>
      </c>
      <c r="I1" s="11" t="s">
        <v>4</v>
      </c>
      <c r="J1" s="11" t="s">
        <v>6</v>
      </c>
      <c r="K1" s="11" t="s">
        <v>268</v>
      </c>
    </row>
    <row r="2" customFormat="false" ht="15" hidden="false" customHeight="false" outlineLevel="0" collapsed="false">
      <c r="A2" s="0" t="s">
        <v>57</v>
      </c>
      <c r="B2" s="0" t="s">
        <v>31</v>
      </c>
      <c r="C2" s="0" t="s">
        <v>58</v>
      </c>
      <c r="D2" s="0" t="s">
        <v>30</v>
      </c>
      <c r="E2" s="0" t="s">
        <v>128</v>
      </c>
      <c r="F2" s="0" t="s">
        <v>59</v>
      </c>
      <c r="G2" s="0" t="s">
        <v>81</v>
      </c>
      <c r="H2" s="0" t="s">
        <v>121</v>
      </c>
      <c r="I2" s="0" t="s">
        <v>102</v>
      </c>
      <c r="J2" s="0" t="s">
        <v>178</v>
      </c>
      <c r="K2" s="0" t="s">
        <v>54</v>
      </c>
    </row>
    <row r="3" customFormat="false" ht="15" hidden="false" customHeight="false" outlineLevel="0" collapsed="false">
      <c r="A3" s="0" t="s">
        <v>60</v>
      </c>
      <c r="B3" s="0" t="s">
        <v>33</v>
      </c>
      <c r="C3" s="0" t="s">
        <v>61</v>
      </c>
      <c r="D3" s="0" t="s">
        <v>32</v>
      </c>
      <c r="E3" s="0" t="s">
        <v>123</v>
      </c>
      <c r="F3" s="0" t="s">
        <v>62</v>
      </c>
      <c r="G3" s="0" t="s">
        <v>83</v>
      </c>
      <c r="H3" s="0" t="s">
        <v>126</v>
      </c>
      <c r="I3" s="0" t="s">
        <v>230</v>
      </c>
      <c r="J3" s="0" t="s">
        <v>143</v>
      </c>
      <c r="K3" s="0" t="s">
        <v>55</v>
      </c>
    </row>
    <row r="4" customFormat="false" ht="15" hidden="false" customHeight="false" outlineLevel="0" collapsed="false">
      <c r="A4" s="0" t="s">
        <v>63</v>
      </c>
      <c r="B4" s="0" t="s">
        <v>36</v>
      </c>
      <c r="C4" s="0" t="s">
        <v>64</v>
      </c>
      <c r="D4" s="0" t="s">
        <v>35</v>
      </c>
      <c r="E4" s="0" t="s">
        <v>134</v>
      </c>
      <c r="F4" s="0" t="s">
        <v>35</v>
      </c>
      <c r="G4" s="0" t="s">
        <v>35</v>
      </c>
      <c r="H4" s="0" t="s">
        <v>132</v>
      </c>
      <c r="I4" s="0" t="s">
        <v>208</v>
      </c>
      <c r="J4" s="0" t="s">
        <v>201</v>
      </c>
      <c r="K4" s="0" t="s">
        <v>97</v>
      </c>
    </row>
    <row r="5" customFormat="false" ht="15" hidden="false" customHeight="false" outlineLevel="0" collapsed="false">
      <c r="A5" s="0" t="s">
        <v>65</v>
      </c>
      <c r="B5" s="0" t="s">
        <v>39</v>
      </c>
      <c r="C5" s="0" t="s">
        <v>66</v>
      </c>
      <c r="D5" s="0" t="s">
        <v>38</v>
      </c>
      <c r="F5" s="0" t="s">
        <v>38</v>
      </c>
      <c r="G5" s="0" t="s">
        <v>38</v>
      </c>
      <c r="H5" s="0" t="s">
        <v>137</v>
      </c>
      <c r="I5" s="0" t="s">
        <v>184</v>
      </c>
      <c r="J5" s="0" t="s">
        <v>191</v>
      </c>
      <c r="K5" s="0" t="s">
        <v>98</v>
      </c>
    </row>
    <row r="6" customFormat="false" ht="15" hidden="false" customHeight="false" outlineLevel="0" collapsed="false">
      <c r="A6" s="0" t="s">
        <v>67</v>
      </c>
      <c r="B6" s="0" t="s">
        <v>41</v>
      </c>
      <c r="C6" s="0" t="s">
        <v>68</v>
      </c>
      <c r="D6" s="0" t="s">
        <v>34</v>
      </c>
      <c r="F6" s="0" t="s">
        <v>69</v>
      </c>
      <c r="G6" s="0" t="s">
        <v>85</v>
      </c>
      <c r="H6" s="0" t="s">
        <v>141</v>
      </c>
      <c r="I6" s="0" t="s">
        <v>269</v>
      </c>
      <c r="J6" s="0" t="s">
        <v>270</v>
      </c>
      <c r="K6" s="0" t="s">
        <v>28</v>
      </c>
    </row>
    <row r="7" customFormat="false" ht="15" hidden="false" customHeight="false" outlineLevel="0" collapsed="false">
      <c r="A7" s="0" t="s">
        <v>70</v>
      </c>
      <c r="B7" s="0" t="s">
        <v>44</v>
      </c>
      <c r="C7" s="0" t="s">
        <v>71</v>
      </c>
      <c r="D7" s="0" t="s">
        <v>43</v>
      </c>
      <c r="H7" s="0" t="s">
        <v>146</v>
      </c>
      <c r="I7" s="0" t="s">
        <v>170</v>
      </c>
      <c r="J7" s="0" t="s">
        <v>271</v>
      </c>
      <c r="K7" s="0" t="s">
        <v>25</v>
      </c>
    </row>
    <row r="8" customFormat="false" ht="15" hidden="false" customHeight="false" outlineLevel="0" collapsed="false">
      <c r="A8" s="0" t="s">
        <v>72</v>
      </c>
      <c r="C8" s="0" t="s">
        <v>73</v>
      </c>
      <c r="D8" s="0" t="s">
        <v>46</v>
      </c>
      <c r="H8" s="0" t="s">
        <v>151</v>
      </c>
      <c r="I8" s="0" t="s">
        <v>129</v>
      </c>
      <c r="J8" s="0" t="s">
        <v>242</v>
      </c>
    </row>
    <row r="9" customFormat="false" ht="15" hidden="false" customHeight="false" outlineLevel="0" collapsed="false">
      <c r="A9" s="0" t="s">
        <v>74</v>
      </c>
      <c r="C9" s="0" t="s">
        <v>75</v>
      </c>
      <c r="H9" s="0" t="s">
        <v>155</v>
      </c>
      <c r="I9" s="0" t="s">
        <v>272</v>
      </c>
      <c r="J9" s="0" t="s">
        <v>157</v>
      </c>
    </row>
    <row r="10" customFormat="false" ht="15" hidden="false" customHeight="false" outlineLevel="0" collapsed="false">
      <c r="A10" s="0" t="s">
        <v>77</v>
      </c>
      <c r="C10" s="0" t="s">
        <v>78</v>
      </c>
      <c r="H10" s="0" t="s">
        <v>160</v>
      </c>
      <c r="J10" s="0" t="s">
        <v>273</v>
      </c>
    </row>
    <row r="11" customFormat="false" ht="15" hidden="false" customHeight="false" outlineLevel="0" collapsed="false">
      <c r="A11" s="0" t="s">
        <v>79</v>
      </c>
      <c r="C11" s="0" t="s">
        <v>80</v>
      </c>
      <c r="H11" s="0" t="s">
        <v>164</v>
      </c>
      <c r="J11" s="0" t="s">
        <v>148</v>
      </c>
    </row>
    <row r="12" customFormat="false" ht="15" hidden="false" customHeight="false" outlineLevel="0" collapsed="false">
      <c r="A12" s="0" t="s">
        <v>82</v>
      </c>
      <c r="H12" s="0" t="s">
        <v>168</v>
      </c>
      <c r="J12" s="0" t="s">
        <v>274</v>
      </c>
    </row>
    <row r="13" customFormat="false" ht="15" hidden="false" customHeight="false" outlineLevel="0" collapsed="false">
      <c r="A13" s="0" t="s">
        <v>84</v>
      </c>
      <c r="H13" s="0" t="s">
        <v>173</v>
      </c>
      <c r="J13" s="0" t="s">
        <v>275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6" min="5" style="0" width="16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3" min="12" style="0" width="10"/>
    <col collapsed="false" customWidth="true" hidden="false" outlineLevel="0" max="14" min="14" style="0" width="14"/>
    <col collapsed="false" customWidth="true" hidden="false" outlineLevel="0" max="16" min="15" style="0" width="30"/>
  </cols>
  <sheetData>
    <row r="1" customFormat="false" ht="19.7" hidden="false" customHeight="false" outlineLevel="0" collapsed="false">
      <c r="A1" s="1" t="s">
        <v>4</v>
      </c>
    </row>
    <row r="2" customFormat="false" ht="15" hidden="false" customHeight="false" outlineLevel="0" collapsed="false">
      <c r="A2" s="2" t="s">
        <v>276</v>
      </c>
    </row>
    <row r="4" customFormat="false" ht="31.5" hidden="false" customHeight="true" outlineLevel="0" collapsed="false">
      <c r="A4" s="13" t="s">
        <v>277</v>
      </c>
      <c r="B4" s="13" t="s">
        <v>103</v>
      </c>
      <c r="C4" s="13" t="s">
        <v>106</v>
      </c>
      <c r="D4" s="13" t="s">
        <v>25</v>
      </c>
      <c r="E4" s="13" t="s">
        <v>278</v>
      </c>
      <c r="F4" s="13" t="s">
        <v>28</v>
      </c>
      <c r="G4" s="13" t="s">
        <v>95</v>
      </c>
      <c r="H4" s="13" t="s">
        <v>105</v>
      </c>
      <c r="I4" s="13" t="s">
        <v>279</v>
      </c>
      <c r="J4" s="13" t="s">
        <v>280</v>
      </c>
      <c r="K4" s="13" t="s">
        <v>281</v>
      </c>
      <c r="L4" s="13" t="s">
        <v>115</v>
      </c>
      <c r="M4" s="13" t="s">
        <v>282</v>
      </c>
      <c r="N4" s="13" t="s">
        <v>283</v>
      </c>
      <c r="O4" s="13" t="s">
        <v>99</v>
      </c>
      <c r="P4" s="13" t="s">
        <v>116</v>
      </c>
    </row>
    <row r="5" customFormat="false" ht="16.4" hidden="false" customHeight="false" outlineLevel="0" collapsed="false">
      <c r="A5" s="0" t="s">
        <v>102</v>
      </c>
      <c r="B5" s="0" t="s">
        <v>284</v>
      </c>
      <c r="C5" s="14" t="s">
        <v>285</v>
      </c>
      <c r="D5" s="14" t="s">
        <v>35</v>
      </c>
      <c r="E5" s="14" t="s">
        <v>82</v>
      </c>
      <c r="F5" s="14" t="s">
        <v>31</v>
      </c>
      <c r="G5" s="14" t="s">
        <v>58</v>
      </c>
      <c r="H5" s="12" t="n">
        <v>46318</v>
      </c>
      <c r="I5" s="12" t="n">
        <v>46261</v>
      </c>
      <c r="J5" s="0" t="n">
        <v>90</v>
      </c>
      <c r="K5" s="15" t="n">
        <f aca="false">IF(I5="","",I5+J5)</f>
        <v>46351</v>
      </c>
      <c r="L5" s="16" t="n">
        <f aca="true">IF(K5="","",K5-TODAY())</f>
        <v>27</v>
      </c>
      <c r="M5" s="17" t="n">
        <f aca="false">COUNTIF(Equipment!$J$5:$J$500,A5)</f>
        <v>3</v>
      </c>
      <c r="N5" s="17" t="n">
        <f aca="false">COUNTIFS(Equipment!$J$5:$J$500,A5,Equipment!$L$5:$L$500,"&lt;&gt;"&amp;F5)</f>
        <v>1</v>
      </c>
      <c r="O5" s="17" t="str">
        <f aca="false">TRIM(IF(C5="","Serial missing. ","")&amp;IF(F5="","No destination. ","")&amp;IF(N5&gt;0,N5&amp;" item(s) going elsewhere. ","")&amp;IF(AND(M5=0,D5&lt;&gt;"Empty"),"No items assigned. ",""))</f>
        <v>1 item(s) going elsewhere.</v>
      </c>
    </row>
    <row r="6" customFormat="false" ht="16.4" hidden="false" customHeight="false" outlineLevel="0" collapsed="false">
      <c r="A6" s="0" t="s">
        <v>230</v>
      </c>
      <c r="B6" s="0" t="s">
        <v>286</v>
      </c>
      <c r="C6" s="14" t="s">
        <v>287</v>
      </c>
      <c r="D6" s="14" t="s">
        <v>35</v>
      </c>
      <c r="E6" s="14" t="s">
        <v>57</v>
      </c>
      <c r="F6" s="14" t="s">
        <v>33</v>
      </c>
      <c r="G6" s="14" t="s">
        <v>61</v>
      </c>
      <c r="H6" s="12" t="n">
        <v>46341</v>
      </c>
      <c r="I6" s="12" t="n">
        <v>46231</v>
      </c>
      <c r="J6" s="0" t="n">
        <v>90</v>
      </c>
      <c r="K6" s="15" t="n">
        <f aca="false">IF(I6="","",I6+J6)</f>
        <v>46321</v>
      </c>
      <c r="L6" s="16" t="n">
        <f aca="true">IF(K6="","",K6-TODAY())</f>
        <v>-3</v>
      </c>
      <c r="M6" s="17" t="n">
        <f aca="false">COUNTIF(Equipment!$J$5:$J$500,A6)</f>
        <v>1</v>
      </c>
      <c r="N6" s="17" t="n">
        <f aca="false">COUNTIFS(Equipment!$J$5:$J$500,A6,Equipment!$L$5:$L$500,"&lt;&gt;"&amp;F6)</f>
        <v>0</v>
      </c>
      <c r="O6" s="17" t="str">
        <f aca="false">TRIM(IF(C6="","Serial missing. ","")&amp;IF(F6="","No destination. ","")&amp;IF(N6&gt;0,N6&amp;" item(s) going elsewhere. ","")&amp;IF(AND(M6=0,D6&lt;&gt;"Empty"),"No items assigned. ",""))</f>
        <v/>
      </c>
    </row>
    <row r="7" customFormat="false" ht="16.4" hidden="false" customHeight="false" outlineLevel="0" collapsed="false">
      <c r="A7" s="0" t="s">
        <v>208</v>
      </c>
      <c r="B7" s="0" t="s">
        <v>288</v>
      </c>
      <c r="C7" s="14"/>
      <c r="D7" s="14" t="s">
        <v>62</v>
      </c>
      <c r="E7" s="14" t="s">
        <v>77</v>
      </c>
      <c r="F7" s="14" t="s">
        <v>36</v>
      </c>
      <c r="G7" s="14" t="s">
        <v>73</v>
      </c>
      <c r="H7" s="12" t="n">
        <v>46317</v>
      </c>
      <c r="I7" s="12" t="n">
        <v>46268</v>
      </c>
      <c r="J7" s="0" t="n">
        <v>90</v>
      </c>
      <c r="K7" s="15" t="n">
        <f aca="false">IF(I7="","",I7+J7)</f>
        <v>46358</v>
      </c>
      <c r="L7" s="16" t="n">
        <f aca="true">IF(K7="","",K7-TODAY())</f>
        <v>34</v>
      </c>
      <c r="M7" s="17" t="n">
        <f aca="false">COUNTIF(Equipment!$J$5:$J$500,A7)</f>
        <v>2</v>
      </c>
      <c r="N7" s="17" t="n">
        <f aca="false">COUNTIFS(Equipment!$J$5:$J$500,A7,Equipment!$L$5:$L$500,"&lt;&gt;"&amp;F7)</f>
        <v>0</v>
      </c>
      <c r="O7" s="17" t="str">
        <f aca="false">TRIM(IF(C7="","Serial missing. ","")&amp;IF(F7="","No destination. ","")&amp;IF(N7&gt;0,N7&amp;" item(s) going elsewhere. ","")&amp;IF(AND(M7=0,D7&lt;&gt;"Empty"),"No items assigned. ",""))</f>
        <v>Serial missing.</v>
      </c>
      <c r="P7" s="10" t="s">
        <v>289</v>
      </c>
    </row>
    <row r="8" customFormat="false" ht="16.4" hidden="false" customHeight="false" outlineLevel="0" collapsed="false">
      <c r="A8" s="0" t="s">
        <v>184</v>
      </c>
      <c r="B8" s="0" t="s">
        <v>284</v>
      </c>
      <c r="C8" s="14" t="s">
        <v>290</v>
      </c>
      <c r="D8" s="14" t="s">
        <v>62</v>
      </c>
      <c r="E8" s="14" t="s">
        <v>57</v>
      </c>
      <c r="F8" s="14" t="s">
        <v>39</v>
      </c>
      <c r="G8" s="14" t="s">
        <v>66</v>
      </c>
      <c r="H8" s="12" t="n">
        <v>46316</v>
      </c>
      <c r="I8" s="12" t="n">
        <v>46266</v>
      </c>
      <c r="J8" s="0" t="n">
        <v>90</v>
      </c>
      <c r="K8" s="15" t="n">
        <f aca="false">IF(I8="","",I8+J8)</f>
        <v>46356</v>
      </c>
      <c r="L8" s="16" t="n">
        <f aca="true">IF(K8="","",K8-TODAY())</f>
        <v>32</v>
      </c>
      <c r="M8" s="17" t="n">
        <f aca="false">COUNTIF(Equipment!$J$5:$J$500,A8)</f>
        <v>5</v>
      </c>
      <c r="N8" s="17" t="n">
        <f aca="false">COUNTIFS(Equipment!$J$5:$J$500,A8,Equipment!$L$5:$L$500,"&lt;&gt;"&amp;F8)</f>
        <v>0</v>
      </c>
      <c r="O8" s="17" t="str">
        <f aca="false">TRIM(IF(C8="","Serial missing. ","")&amp;IF(F8="","No destination. ","")&amp;IF(N8&gt;0,N8&amp;" item(s) going elsewhere. ","")&amp;IF(AND(M8=0,D8&lt;&gt;"Empty"),"No items assigned. ",""))</f>
        <v/>
      </c>
    </row>
    <row r="9" customFormat="false" ht="16.4" hidden="false" customHeight="false" outlineLevel="0" collapsed="false">
      <c r="A9" s="0" t="s">
        <v>269</v>
      </c>
      <c r="B9" s="0" t="s">
        <v>286</v>
      </c>
      <c r="C9" s="14" t="s">
        <v>291</v>
      </c>
      <c r="D9" s="14" t="s">
        <v>35</v>
      </c>
      <c r="E9" s="14" t="s">
        <v>77</v>
      </c>
      <c r="F9" s="14" t="s">
        <v>41</v>
      </c>
      <c r="G9" s="14" t="s">
        <v>61</v>
      </c>
      <c r="H9" s="12" t="n">
        <v>46333</v>
      </c>
      <c r="I9" s="12" t="n">
        <v>46267</v>
      </c>
      <c r="J9" s="0" t="n">
        <v>90</v>
      </c>
      <c r="K9" s="15" t="n">
        <f aca="false">IF(I9="","",I9+J9)</f>
        <v>46357</v>
      </c>
      <c r="L9" s="16" t="n">
        <f aca="true">IF(K9="","",K9-TODAY())</f>
        <v>33</v>
      </c>
      <c r="M9" s="17" t="n">
        <f aca="false">COUNTIF(Equipment!$J$5:$J$500,A9)</f>
        <v>0</v>
      </c>
      <c r="N9" s="17" t="n">
        <f aca="false">COUNTIFS(Equipment!$J$5:$J$500,A9,Equipment!$L$5:$L$500,"&lt;&gt;"&amp;F9)</f>
        <v>0</v>
      </c>
      <c r="O9" s="17" t="str">
        <f aca="false">TRIM(IF(C9="","Serial missing. ","")&amp;IF(F9="","No destination. ","")&amp;IF(N9&gt;0,N9&amp;" item(s) going elsewhere. ","")&amp;IF(AND(M9=0,D9&lt;&gt;"Empty"),"No items assigned. ",""))</f>
        <v>No items assigned.</v>
      </c>
    </row>
    <row r="10" customFormat="false" ht="16.4" hidden="false" customHeight="false" outlineLevel="0" collapsed="false">
      <c r="A10" s="0" t="s">
        <v>170</v>
      </c>
      <c r="B10" s="0" t="s">
        <v>292</v>
      </c>
      <c r="C10" s="14" t="s">
        <v>293</v>
      </c>
      <c r="D10" s="14" t="s">
        <v>59</v>
      </c>
      <c r="E10" s="14" t="s">
        <v>60</v>
      </c>
      <c r="F10" s="14" t="s">
        <v>44</v>
      </c>
      <c r="G10" s="14" t="s">
        <v>78</v>
      </c>
      <c r="H10" s="12" t="n">
        <v>46318</v>
      </c>
      <c r="I10" s="12" t="n">
        <v>46268</v>
      </c>
      <c r="J10" s="0" t="n">
        <v>90</v>
      </c>
      <c r="K10" s="15" t="n">
        <f aca="false">IF(I10="","",I10+J10)</f>
        <v>46358</v>
      </c>
      <c r="L10" s="16" t="n">
        <f aca="true">IF(K10="","",K10-TODAY())</f>
        <v>34</v>
      </c>
      <c r="M10" s="17" t="n">
        <f aca="false">COUNTIF(Equipment!$J$5:$J$500,A10)</f>
        <v>4</v>
      </c>
      <c r="N10" s="17" t="n">
        <f aca="false">COUNTIFS(Equipment!$J$5:$J$500,A10,Equipment!$L$5:$L$500,"&lt;&gt;"&amp;F10)</f>
        <v>0</v>
      </c>
      <c r="O10" s="17" t="str">
        <f aca="false">TRIM(IF(C10="","Serial missing. ","")&amp;IF(F10="","No destination. ","")&amp;IF(N10&gt;0,N10&amp;" item(s) going elsewhere. ","")&amp;IF(AND(M10=0,D10&lt;&gt;"Empty"),"No items assigned. ",""))</f>
        <v/>
      </c>
    </row>
    <row r="11" customFormat="false" ht="16.4" hidden="false" customHeight="false" outlineLevel="0" collapsed="false">
      <c r="A11" s="0" t="s">
        <v>129</v>
      </c>
      <c r="B11" s="0" t="s">
        <v>284</v>
      </c>
      <c r="C11" s="14"/>
      <c r="D11" s="14" t="s">
        <v>62</v>
      </c>
      <c r="E11" s="14" t="s">
        <v>82</v>
      </c>
      <c r="F11" s="14" t="s">
        <v>31</v>
      </c>
      <c r="G11" s="14" t="s">
        <v>78</v>
      </c>
      <c r="H11" s="12" t="n">
        <v>46341</v>
      </c>
      <c r="I11" s="12" t="n">
        <v>46204</v>
      </c>
      <c r="J11" s="0" t="n">
        <v>180</v>
      </c>
      <c r="K11" s="15" t="n">
        <f aca="false">IF(I11="","",I11+J11)</f>
        <v>46384</v>
      </c>
      <c r="L11" s="16" t="n">
        <f aca="true">IF(K11="","",K11-TODAY())</f>
        <v>60</v>
      </c>
      <c r="M11" s="17" t="n">
        <f aca="false">COUNTIF(Equipment!$J$5:$J$500,A11)</f>
        <v>1</v>
      </c>
      <c r="N11" s="17" t="n">
        <f aca="false">COUNTIFS(Equipment!$J$5:$J$500,A11,Equipment!$L$5:$L$500,"&lt;&gt;"&amp;F11)</f>
        <v>0</v>
      </c>
      <c r="O11" s="17" t="str">
        <f aca="false">TRIM(IF(C11="","Serial missing. ","")&amp;IF(F11="","No destination. ","")&amp;IF(N11&gt;0,N11&amp;" item(s) going elsewhere. ","")&amp;IF(AND(M11=0,D11&lt;&gt;"Empty"),"No items assigned. ",""))</f>
        <v>Serial missing.</v>
      </c>
      <c r="P11" s="10" t="s">
        <v>289</v>
      </c>
    </row>
    <row r="12" customFormat="false" ht="16.4" hidden="false" customHeight="false" outlineLevel="0" collapsed="false">
      <c r="A12" s="0" t="s">
        <v>272</v>
      </c>
      <c r="B12" s="0" t="s">
        <v>292</v>
      </c>
      <c r="C12" s="14" t="s">
        <v>294</v>
      </c>
      <c r="D12" s="14" t="s">
        <v>38</v>
      </c>
      <c r="E12" s="14" t="s">
        <v>65</v>
      </c>
      <c r="F12" s="14" t="s">
        <v>33</v>
      </c>
      <c r="G12" s="14" t="s">
        <v>64</v>
      </c>
      <c r="H12" s="12" t="n">
        <v>46329</v>
      </c>
      <c r="I12" s="12" t="n">
        <v>46144</v>
      </c>
      <c r="J12" s="0" t="n">
        <v>180</v>
      </c>
      <c r="K12" s="15" t="n">
        <f aca="false">IF(I12="","",I12+J12)</f>
        <v>46324</v>
      </c>
      <c r="L12" s="16" t="n">
        <f aca="true">IF(K12="","",K12-TODAY())</f>
        <v>0</v>
      </c>
      <c r="M12" s="17" t="n">
        <f aca="false">COUNTIF(Equipment!$J$5:$J$500,A12)</f>
        <v>0</v>
      </c>
      <c r="N12" s="17" t="n">
        <f aca="false">COUNTIFS(Equipment!$J$5:$J$500,A12,Equipment!$L$5:$L$500,"&lt;&gt;"&amp;F12)</f>
        <v>0</v>
      </c>
      <c r="O12" s="17" t="str">
        <f aca="false">TRIM(IF(C12="","Serial missing. ","")&amp;IF(F12="","No destination. ","")&amp;IF(N12&gt;0,N12&amp;" item(s) going elsewhere. ","")&amp;IF(AND(M12=0,D12&lt;&gt;"Empty"),"No items assigned. ",""))</f>
        <v>No items assigned.</v>
      </c>
    </row>
    <row r="13" customFormat="false" ht="15" hidden="false" customHeight="false" outlineLevel="0" collapsed="false">
      <c r="C13" s="14"/>
      <c r="D13" s="14"/>
      <c r="E13" s="14"/>
      <c r="F13" s="14"/>
      <c r="G13" s="14"/>
      <c r="K13" s="16"/>
      <c r="L13" s="16"/>
      <c r="M13" s="17"/>
      <c r="N13" s="17"/>
      <c r="O13" s="17"/>
    </row>
    <row r="14" customFormat="false" ht="15" hidden="false" customHeight="false" outlineLevel="0" collapsed="false">
      <c r="C14" s="14"/>
      <c r="D14" s="14"/>
      <c r="E14" s="14"/>
      <c r="F14" s="14"/>
      <c r="G14" s="14"/>
      <c r="K14" s="16"/>
      <c r="L14" s="16"/>
      <c r="M14" s="17"/>
      <c r="N14" s="17"/>
      <c r="O14" s="17"/>
    </row>
    <row r="15" customFormat="false" ht="15" hidden="false" customHeight="false" outlineLevel="0" collapsed="false">
      <c r="C15" s="14"/>
      <c r="D15" s="14"/>
      <c r="E15" s="14"/>
      <c r="F15" s="14"/>
      <c r="G15" s="14"/>
      <c r="K15" s="16"/>
      <c r="L15" s="16"/>
      <c r="M15" s="17"/>
      <c r="N15" s="17"/>
      <c r="O15" s="17"/>
    </row>
    <row r="16" customFormat="false" ht="15" hidden="false" customHeight="false" outlineLevel="0" collapsed="false">
      <c r="C16" s="14"/>
      <c r="D16" s="14"/>
      <c r="E16" s="14"/>
      <c r="F16" s="14"/>
      <c r="G16" s="14"/>
      <c r="K16" s="16"/>
      <c r="L16" s="16"/>
      <c r="M16" s="17"/>
      <c r="N16" s="17"/>
      <c r="O16" s="17"/>
    </row>
    <row r="17" customFormat="false" ht="15" hidden="false" customHeight="false" outlineLevel="0" collapsed="false">
      <c r="C17" s="14"/>
      <c r="D17" s="14"/>
      <c r="E17" s="14"/>
      <c r="F17" s="14"/>
      <c r="G17" s="14"/>
      <c r="K17" s="16"/>
      <c r="L17" s="16"/>
      <c r="M17" s="17"/>
      <c r="N17" s="17"/>
      <c r="O17" s="17"/>
    </row>
    <row r="18" customFormat="false" ht="15" hidden="false" customHeight="false" outlineLevel="0" collapsed="false">
      <c r="C18" s="14"/>
      <c r="D18" s="14"/>
      <c r="E18" s="14"/>
      <c r="F18" s="14"/>
      <c r="G18" s="14"/>
      <c r="K18" s="16"/>
      <c r="L18" s="16"/>
      <c r="M18" s="17"/>
      <c r="N18" s="17"/>
      <c r="O18" s="17"/>
    </row>
    <row r="19" customFormat="false" ht="15" hidden="false" customHeight="false" outlineLevel="0" collapsed="false">
      <c r="C19" s="14"/>
      <c r="D19" s="14"/>
      <c r="E19" s="14"/>
      <c r="F19" s="14"/>
      <c r="G19" s="14"/>
      <c r="K19" s="16"/>
      <c r="L19" s="16"/>
      <c r="M19" s="17"/>
      <c r="N19" s="17"/>
      <c r="O19" s="17"/>
    </row>
    <row r="20" customFormat="false" ht="15" hidden="false" customHeight="false" outlineLevel="0" collapsed="false">
      <c r="C20" s="14"/>
      <c r="D20" s="14"/>
      <c r="E20" s="14"/>
      <c r="F20" s="14"/>
      <c r="G20" s="14"/>
      <c r="K20" s="16"/>
      <c r="L20" s="16"/>
      <c r="M20" s="17"/>
      <c r="N20" s="17"/>
      <c r="O20" s="17"/>
    </row>
    <row r="21" customFormat="false" ht="15" hidden="false" customHeight="false" outlineLevel="0" collapsed="false">
      <c r="C21" s="14"/>
      <c r="D21" s="14"/>
      <c r="E21" s="14"/>
      <c r="F21" s="14"/>
      <c r="G21" s="14"/>
      <c r="K21" s="16"/>
      <c r="L21" s="16"/>
      <c r="M21" s="17"/>
      <c r="N21" s="17"/>
      <c r="O21" s="17"/>
    </row>
    <row r="22" customFormat="false" ht="15" hidden="false" customHeight="false" outlineLevel="0" collapsed="false">
      <c r="C22" s="14"/>
      <c r="D22" s="14"/>
      <c r="E22" s="14"/>
      <c r="F22" s="14"/>
      <c r="G22" s="14"/>
      <c r="K22" s="16"/>
      <c r="L22" s="16"/>
      <c r="M22" s="17"/>
      <c r="N22" s="17"/>
      <c r="O22" s="17"/>
    </row>
    <row r="23" customFormat="false" ht="15" hidden="false" customHeight="false" outlineLevel="0" collapsed="false">
      <c r="C23" s="14"/>
      <c r="D23" s="14"/>
      <c r="E23" s="14"/>
      <c r="F23" s="14"/>
      <c r="G23" s="14"/>
      <c r="K23" s="16"/>
      <c r="L23" s="16"/>
      <c r="M23" s="17"/>
      <c r="N23" s="17"/>
      <c r="O23" s="17"/>
    </row>
    <row r="24" customFormat="false" ht="15" hidden="false" customHeight="false" outlineLevel="0" collapsed="false">
      <c r="C24" s="14"/>
      <c r="D24" s="14"/>
      <c r="E24" s="14"/>
      <c r="F24" s="14"/>
      <c r="G24" s="14"/>
      <c r="K24" s="16"/>
      <c r="L24" s="16"/>
      <c r="M24" s="17"/>
      <c r="N24" s="17"/>
      <c r="O24" s="17"/>
    </row>
    <row r="25" customFormat="false" ht="15" hidden="false" customHeight="false" outlineLevel="0" collapsed="false">
      <c r="C25" s="14"/>
      <c r="D25" s="14"/>
      <c r="E25" s="14"/>
      <c r="F25" s="14"/>
      <c r="G25" s="14"/>
      <c r="K25" s="16"/>
      <c r="L25" s="16"/>
      <c r="M25" s="17"/>
      <c r="N25" s="17"/>
      <c r="O25" s="17"/>
    </row>
    <row r="26" customFormat="false" ht="15" hidden="false" customHeight="false" outlineLevel="0" collapsed="false">
      <c r="C26" s="14"/>
      <c r="D26" s="14"/>
      <c r="E26" s="14"/>
      <c r="F26" s="14"/>
      <c r="G26" s="14"/>
      <c r="K26" s="16"/>
      <c r="L26" s="16"/>
      <c r="M26" s="17"/>
      <c r="N26" s="17"/>
      <c r="O26" s="17"/>
    </row>
    <row r="27" customFormat="false" ht="15" hidden="false" customHeight="false" outlineLevel="0" collapsed="false">
      <c r="C27" s="14"/>
      <c r="D27" s="14"/>
      <c r="E27" s="14"/>
      <c r="F27" s="14"/>
      <c r="G27" s="14"/>
      <c r="K27" s="16"/>
      <c r="L27" s="16"/>
      <c r="M27" s="17"/>
      <c r="N27" s="17"/>
      <c r="O27" s="17"/>
    </row>
    <row r="28" customFormat="false" ht="15" hidden="false" customHeight="false" outlineLevel="0" collapsed="false">
      <c r="C28" s="14"/>
      <c r="D28" s="14"/>
      <c r="E28" s="14"/>
      <c r="F28" s="14"/>
      <c r="G28" s="14"/>
      <c r="K28" s="16"/>
      <c r="L28" s="16"/>
      <c r="M28" s="17"/>
      <c r="N28" s="17"/>
      <c r="O28" s="17"/>
    </row>
    <row r="29" customFormat="false" ht="15" hidden="false" customHeight="false" outlineLevel="0" collapsed="false">
      <c r="C29" s="14"/>
      <c r="D29" s="14"/>
      <c r="E29" s="14"/>
      <c r="F29" s="14"/>
      <c r="G29" s="14"/>
      <c r="K29" s="16"/>
      <c r="L29" s="16"/>
      <c r="M29" s="17"/>
      <c r="N29" s="17"/>
      <c r="O29" s="17"/>
    </row>
    <row r="30" customFormat="false" ht="15" hidden="false" customHeight="false" outlineLevel="0" collapsed="false">
      <c r="C30" s="14"/>
      <c r="D30" s="14"/>
      <c r="E30" s="14"/>
      <c r="F30" s="14"/>
      <c r="G30" s="14"/>
      <c r="K30" s="16"/>
      <c r="L30" s="16"/>
      <c r="M30" s="17"/>
      <c r="N30" s="17"/>
      <c r="O30" s="17"/>
    </row>
    <row r="31" customFormat="false" ht="15" hidden="false" customHeight="false" outlineLevel="0" collapsed="false">
      <c r="C31" s="14"/>
      <c r="D31" s="14"/>
      <c r="E31" s="14"/>
      <c r="F31" s="14"/>
      <c r="G31" s="14"/>
      <c r="K31" s="16"/>
      <c r="L31" s="16"/>
      <c r="M31" s="17"/>
      <c r="N31" s="17"/>
      <c r="O31" s="17"/>
    </row>
    <row r="32" customFormat="false" ht="15" hidden="false" customHeight="false" outlineLevel="0" collapsed="false">
      <c r="C32" s="14"/>
      <c r="D32" s="14"/>
      <c r="E32" s="14"/>
      <c r="F32" s="14"/>
      <c r="G32" s="14"/>
      <c r="K32" s="16"/>
      <c r="L32" s="16"/>
      <c r="M32" s="17"/>
      <c r="N32" s="17"/>
      <c r="O32" s="17"/>
    </row>
    <row r="33" customFormat="false" ht="15" hidden="false" customHeight="false" outlineLevel="0" collapsed="false">
      <c r="C33" s="14"/>
      <c r="D33" s="14"/>
      <c r="E33" s="14"/>
      <c r="F33" s="14"/>
      <c r="G33" s="14"/>
      <c r="K33" s="16"/>
      <c r="L33" s="16"/>
      <c r="M33" s="17"/>
      <c r="N33" s="17"/>
      <c r="O33" s="17"/>
    </row>
    <row r="34" customFormat="false" ht="15" hidden="false" customHeight="false" outlineLevel="0" collapsed="false">
      <c r="C34" s="14"/>
      <c r="D34" s="14"/>
      <c r="E34" s="14"/>
      <c r="F34" s="14"/>
      <c r="G34" s="14"/>
      <c r="K34" s="16"/>
      <c r="L34" s="16"/>
      <c r="M34" s="17"/>
      <c r="N34" s="17"/>
      <c r="O34" s="17"/>
    </row>
    <row r="35" customFormat="false" ht="15" hidden="false" customHeight="false" outlineLevel="0" collapsed="false">
      <c r="C35" s="14"/>
      <c r="D35" s="14"/>
      <c r="E35" s="14"/>
      <c r="F35" s="14"/>
      <c r="G35" s="14"/>
      <c r="K35" s="16"/>
      <c r="L35" s="16"/>
      <c r="M35" s="17"/>
      <c r="N35" s="17"/>
      <c r="O35" s="17"/>
    </row>
    <row r="36" customFormat="false" ht="15" hidden="false" customHeight="false" outlineLevel="0" collapsed="false">
      <c r="C36" s="14"/>
      <c r="D36" s="14"/>
      <c r="E36" s="14"/>
      <c r="F36" s="14"/>
      <c r="G36" s="14"/>
      <c r="K36" s="16"/>
      <c r="L36" s="16"/>
      <c r="M36" s="17"/>
      <c r="N36" s="17"/>
      <c r="O36" s="17"/>
    </row>
    <row r="37" customFormat="false" ht="15" hidden="false" customHeight="false" outlineLevel="0" collapsed="false">
      <c r="C37" s="14"/>
      <c r="D37" s="14"/>
      <c r="E37" s="14"/>
      <c r="F37" s="14"/>
      <c r="G37" s="14"/>
      <c r="K37" s="16"/>
      <c r="L37" s="16"/>
      <c r="M37" s="17"/>
      <c r="N37" s="17"/>
      <c r="O37" s="17"/>
    </row>
    <row r="38" customFormat="false" ht="15" hidden="false" customHeight="false" outlineLevel="0" collapsed="false">
      <c r="C38" s="14"/>
      <c r="D38" s="14"/>
      <c r="E38" s="14"/>
      <c r="F38" s="14"/>
      <c r="G38" s="14"/>
      <c r="K38" s="16"/>
      <c r="L38" s="16"/>
      <c r="M38" s="17"/>
      <c r="N38" s="17"/>
      <c r="O38" s="17"/>
    </row>
    <row r="39" customFormat="false" ht="15" hidden="false" customHeight="false" outlineLevel="0" collapsed="false">
      <c r="C39" s="14"/>
      <c r="D39" s="14"/>
      <c r="E39" s="14"/>
      <c r="F39" s="14"/>
      <c r="G39" s="14"/>
      <c r="K39" s="16"/>
      <c r="L39" s="16"/>
      <c r="M39" s="17"/>
      <c r="N39" s="17"/>
      <c r="O39" s="17"/>
    </row>
    <row r="40" customFormat="false" ht="15" hidden="false" customHeight="false" outlineLevel="0" collapsed="false">
      <c r="C40" s="14"/>
      <c r="D40" s="14"/>
      <c r="E40" s="14"/>
      <c r="F40" s="14"/>
      <c r="G40" s="14"/>
      <c r="K40" s="16"/>
      <c r="L40" s="16"/>
      <c r="M40" s="17"/>
      <c r="N40" s="17"/>
      <c r="O40" s="17"/>
    </row>
    <row r="41" customFormat="false" ht="15" hidden="false" customHeight="false" outlineLevel="0" collapsed="false">
      <c r="C41" s="14"/>
      <c r="D41" s="14"/>
      <c r="E41" s="14"/>
      <c r="F41" s="14"/>
      <c r="G41" s="14"/>
      <c r="K41" s="16"/>
      <c r="L41" s="16"/>
      <c r="M41" s="17"/>
      <c r="N41" s="17"/>
      <c r="O41" s="17"/>
    </row>
    <row r="42" customFormat="false" ht="15" hidden="false" customHeight="false" outlineLevel="0" collapsed="false">
      <c r="C42" s="14"/>
      <c r="D42" s="14"/>
      <c r="E42" s="14"/>
      <c r="F42" s="14"/>
      <c r="G42" s="14"/>
      <c r="K42" s="16"/>
      <c r="L42" s="16"/>
      <c r="M42" s="17"/>
      <c r="N42" s="17"/>
      <c r="O42" s="17"/>
    </row>
    <row r="43" customFormat="false" ht="15" hidden="false" customHeight="false" outlineLevel="0" collapsed="false">
      <c r="C43" s="14"/>
      <c r="D43" s="14"/>
      <c r="E43" s="14"/>
      <c r="F43" s="14"/>
      <c r="G43" s="14"/>
      <c r="K43" s="16"/>
      <c r="L43" s="16"/>
      <c r="M43" s="17"/>
      <c r="N43" s="17"/>
      <c r="O43" s="17"/>
    </row>
    <row r="44" customFormat="false" ht="15" hidden="false" customHeight="false" outlineLevel="0" collapsed="false">
      <c r="C44" s="14"/>
      <c r="D44" s="14"/>
      <c r="E44" s="14"/>
      <c r="F44" s="14"/>
      <c r="G44" s="14"/>
      <c r="K44" s="16"/>
      <c r="L44" s="16"/>
      <c r="M44" s="17"/>
      <c r="N44" s="17"/>
      <c r="O44" s="17"/>
    </row>
    <row r="45" customFormat="false" ht="15" hidden="false" customHeight="false" outlineLevel="0" collapsed="false">
      <c r="C45" s="14"/>
      <c r="D45" s="14"/>
      <c r="E45" s="14"/>
      <c r="F45" s="14"/>
      <c r="G45" s="14"/>
      <c r="K45" s="16"/>
      <c r="L45" s="16"/>
      <c r="M45" s="17"/>
      <c r="N45" s="17"/>
      <c r="O45" s="17"/>
    </row>
    <row r="46" customFormat="false" ht="15" hidden="false" customHeight="false" outlineLevel="0" collapsed="false">
      <c r="C46" s="14"/>
      <c r="D46" s="14"/>
      <c r="E46" s="14"/>
      <c r="F46" s="14"/>
      <c r="G46" s="14"/>
      <c r="K46" s="16"/>
      <c r="L46" s="16"/>
      <c r="M46" s="17"/>
      <c r="N46" s="17"/>
      <c r="O46" s="17"/>
    </row>
    <row r="47" customFormat="false" ht="15" hidden="false" customHeight="false" outlineLevel="0" collapsed="false">
      <c r="C47" s="14"/>
      <c r="D47" s="14"/>
      <c r="E47" s="14"/>
      <c r="F47" s="14"/>
      <c r="G47" s="14"/>
      <c r="K47" s="16"/>
      <c r="L47" s="16"/>
      <c r="M47" s="17"/>
      <c r="N47" s="17"/>
      <c r="O47" s="17"/>
    </row>
    <row r="48" customFormat="false" ht="15" hidden="false" customHeight="false" outlineLevel="0" collapsed="false">
      <c r="C48" s="14"/>
      <c r="D48" s="14"/>
      <c r="E48" s="14"/>
      <c r="F48" s="14"/>
      <c r="G48" s="14"/>
      <c r="K48" s="16"/>
      <c r="L48" s="16"/>
      <c r="M48" s="17"/>
      <c r="N48" s="17"/>
      <c r="O48" s="17"/>
    </row>
    <row r="49" customFormat="false" ht="15" hidden="false" customHeight="false" outlineLevel="0" collapsed="false">
      <c r="C49" s="14"/>
      <c r="D49" s="14"/>
      <c r="E49" s="14"/>
      <c r="F49" s="14"/>
      <c r="G49" s="14"/>
      <c r="K49" s="16"/>
      <c r="L49" s="16"/>
      <c r="M49" s="17"/>
      <c r="N49" s="17"/>
      <c r="O49" s="17"/>
    </row>
    <row r="50" customFormat="false" ht="15" hidden="false" customHeight="false" outlineLevel="0" collapsed="false">
      <c r="C50" s="14"/>
      <c r="D50" s="14"/>
      <c r="E50" s="14"/>
      <c r="F50" s="14"/>
      <c r="G50" s="14"/>
      <c r="K50" s="16"/>
      <c r="L50" s="16"/>
      <c r="M50" s="17"/>
      <c r="N50" s="17"/>
      <c r="O50" s="17"/>
    </row>
    <row r="51" customFormat="false" ht="15" hidden="false" customHeight="false" outlineLevel="0" collapsed="false">
      <c r="C51" s="14"/>
      <c r="D51" s="14"/>
      <c r="E51" s="14"/>
      <c r="F51" s="14"/>
      <c r="G51" s="14"/>
      <c r="K51" s="16"/>
      <c r="L51" s="16"/>
      <c r="M51" s="17"/>
      <c r="N51" s="17"/>
      <c r="O51" s="17"/>
    </row>
    <row r="52" customFormat="false" ht="15" hidden="false" customHeight="false" outlineLevel="0" collapsed="false">
      <c r="C52" s="14"/>
      <c r="D52" s="14"/>
      <c r="E52" s="14"/>
      <c r="F52" s="14"/>
      <c r="G52" s="14"/>
      <c r="K52" s="16"/>
      <c r="L52" s="16"/>
      <c r="M52" s="17"/>
      <c r="N52" s="17"/>
      <c r="O52" s="17"/>
    </row>
    <row r="53" customFormat="false" ht="15" hidden="false" customHeight="false" outlineLevel="0" collapsed="false">
      <c r="C53" s="14"/>
      <c r="D53" s="14"/>
      <c r="E53" s="14"/>
      <c r="F53" s="14"/>
      <c r="G53" s="14"/>
      <c r="K53" s="16"/>
      <c r="L53" s="16"/>
      <c r="M53" s="17"/>
      <c r="N53" s="17"/>
      <c r="O53" s="17"/>
    </row>
    <row r="54" customFormat="false" ht="15" hidden="false" customHeight="false" outlineLevel="0" collapsed="false">
      <c r="C54" s="14"/>
      <c r="D54" s="14"/>
      <c r="E54" s="14"/>
      <c r="F54" s="14"/>
      <c r="G54" s="14"/>
      <c r="K54" s="16"/>
      <c r="L54" s="16"/>
      <c r="M54" s="17"/>
      <c r="N54" s="17"/>
      <c r="O54" s="17"/>
    </row>
    <row r="55" customFormat="false" ht="15" hidden="false" customHeight="false" outlineLevel="0" collapsed="false">
      <c r="C55" s="14"/>
      <c r="D55" s="14"/>
      <c r="E55" s="14"/>
      <c r="F55" s="14"/>
      <c r="G55" s="14"/>
      <c r="K55" s="16"/>
      <c r="L55" s="16"/>
      <c r="M55" s="17"/>
      <c r="N55" s="17"/>
      <c r="O55" s="17"/>
    </row>
    <row r="56" customFormat="false" ht="15" hidden="false" customHeight="false" outlineLevel="0" collapsed="false">
      <c r="C56" s="14"/>
      <c r="D56" s="14"/>
      <c r="E56" s="14"/>
      <c r="F56" s="14"/>
      <c r="G56" s="14"/>
      <c r="K56" s="16"/>
      <c r="L56" s="16"/>
      <c r="M56" s="17"/>
      <c r="N56" s="17"/>
      <c r="O56" s="17"/>
    </row>
    <row r="57" customFormat="false" ht="15" hidden="false" customHeight="false" outlineLevel="0" collapsed="false">
      <c r="C57" s="14"/>
      <c r="D57" s="14"/>
      <c r="E57" s="14"/>
      <c r="F57" s="14"/>
      <c r="G57" s="14"/>
      <c r="K57" s="16"/>
      <c r="L57" s="16"/>
      <c r="M57" s="17"/>
      <c r="N57" s="17"/>
      <c r="O57" s="17"/>
    </row>
    <row r="58" customFormat="false" ht="15" hidden="false" customHeight="false" outlineLevel="0" collapsed="false">
      <c r="C58" s="14"/>
      <c r="D58" s="14"/>
      <c r="E58" s="14"/>
      <c r="F58" s="14"/>
      <c r="G58" s="14"/>
      <c r="K58" s="16"/>
      <c r="L58" s="16"/>
      <c r="M58" s="17"/>
      <c r="N58" s="17"/>
      <c r="O58" s="17"/>
    </row>
    <row r="59" customFormat="false" ht="15" hidden="false" customHeight="false" outlineLevel="0" collapsed="false">
      <c r="C59" s="14"/>
      <c r="D59" s="14"/>
      <c r="E59" s="14"/>
      <c r="F59" s="14"/>
      <c r="G59" s="14"/>
      <c r="K59" s="16"/>
      <c r="L59" s="16"/>
      <c r="M59" s="17"/>
      <c r="N59" s="17"/>
      <c r="O59" s="17"/>
    </row>
    <row r="60" customFormat="false" ht="15" hidden="false" customHeight="false" outlineLevel="0" collapsed="false">
      <c r="C60" s="14"/>
      <c r="D60" s="14"/>
      <c r="E60" s="14"/>
      <c r="F60" s="14"/>
      <c r="G60" s="14"/>
      <c r="K60" s="16"/>
      <c r="L60" s="16"/>
      <c r="M60" s="17"/>
      <c r="N60" s="17"/>
      <c r="O60" s="17"/>
    </row>
  </sheetData>
  <conditionalFormatting sqref="K5:L60">
    <cfRule type="expression" priority="2" aboveAverage="0" equalAverage="0" bottom="0" percent="0" rank="0" text="" dxfId="0">
      <formula>AND($L5&lt;&gt;"",N($L5)&lt;0)</formula>
    </cfRule>
    <cfRule type="expression" priority="3" aboveAverage="0" equalAverage="0" bottom="0" percent="0" rank="0" text="" dxfId="9">
      <formula>AND($L5&lt;&gt;"",N($L5)&gt;=0,N($L5)&lt;=30)</formula>
    </cfRule>
  </conditionalFormatting>
  <conditionalFormatting sqref="O5:O60">
    <cfRule type="expression" priority="4" aboveAverage="0" equalAverage="0" bottom="0" percent="0" rank="0" text="" dxfId="0">
      <formula>LEN($O5)&gt;0</formula>
    </cfRule>
  </conditionalFormatting>
  <conditionalFormatting sqref="C5:C60">
    <cfRule type="expression" priority="5" aboveAverage="0" equalAverage="0" bottom="0" percent="0" rank="0" text="" dxfId="9">
      <formula>AND($A5&lt;&gt;"",$C5="")</formula>
    </cfRule>
  </conditionalFormatting>
  <conditionalFormatting sqref="D5:D60">
    <cfRule type="cellIs" priority="6" operator="equal" aboveAverage="0" equalAverage="0" bottom="0" percent="0" rank="0" text="" dxfId="10">
      <formula>"Delivered"</formula>
    </cfRule>
  </conditionalFormatting>
  <dataValidations count="4">
    <dataValidation allowBlank="true" error="Pick a value from the Container status list (sheet Lists)." errorStyle="stop" errorTitle="Not in list" operator="between" showDropDown="false" showErrorMessage="true" showInputMessage="false" sqref="D5:D60" type="list">
      <formula1>Lists!$F$2:$F$30</formula1>
      <formula2>0</formula2>
    </dataValidation>
    <dataValidation allowBlank="true" error="Pick a value from the Storage locations list (sheet Lists)." errorStyle="stop" errorTitle="Not in list" operator="between" showDropDown="false" showErrorMessage="true" showInputMessage="false" sqref="E5:E60" type="list">
      <formula1>Lists!$A$2:$A$30</formula1>
      <formula2>0</formula2>
    </dataValidation>
    <dataValidation allowBlank="true" error="Pick a value from the Destinations list (sheet Lists)." errorStyle="stop" errorTitle="Not in list" operator="between" showDropDown="false" showErrorMessage="true" showInputMessage="false" sqref="F5:F60" type="list">
      <formula1>Lists!$B$2:$B$30</formula1>
      <formula2>0</formula2>
    </dataValidation>
    <dataValidation allowBlank="true" error="Pick a value from the People list (sheet Lists)." errorStyle="stop" errorTitle="Not in list" operator="between" showDropDown="false" showErrorMessage="true" showInputMessage="false" sqref="G5:G60" type="list">
      <formula1>Lists!$C$2:$C$30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6" min="5" style="0" width="16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3" min="12" style="0" width="10"/>
    <col collapsed="false" customWidth="true" hidden="false" outlineLevel="0" max="14" min="14" style="0" width="14"/>
    <col collapsed="false" customWidth="true" hidden="false" outlineLevel="0" max="16" min="15" style="0" width="30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295</v>
      </c>
    </row>
    <row r="4" customFormat="false" ht="31.5" hidden="false" customHeight="true" outlineLevel="0" collapsed="false">
      <c r="A4" s="13" t="s">
        <v>296</v>
      </c>
      <c r="B4" s="13" t="s">
        <v>103</v>
      </c>
      <c r="C4" s="13" t="s">
        <v>297</v>
      </c>
      <c r="D4" s="13" t="s">
        <v>25</v>
      </c>
      <c r="E4" s="13" t="s">
        <v>278</v>
      </c>
      <c r="F4" s="13" t="s">
        <v>28</v>
      </c>
      <c r="G4" s="13" t="s">
        <v>298</v>
      </c>
      <c r="H4" s="13" t="s">
        <v>105</v>
      </c>
      <c r="I4" s="13" t="s">
        <v>112</v>
      </c>
      <c r="J4" s="13" t="s">
        <v>113</v>
      </c>
      <c r="K4" s="13" t="s">
        <v>114</v>
      </c>
      <c r="L4" s="13" t="s">
        <v>115</v>
      </c>
      <c r="M4" s="13" t="s">
        <v>299</v>
      </c>
      <c r="N4" s="13" t="s">
        <v>283</v>
      </c>
      <c r="O4" s="13" t="s">
        <v>99</v>
      </c>
      <c r="P4" s="13" t="s">
        <v>116</v>
      </c>
    </row>
    <row r="5" customFormat="false" ht="16.4" hidden="false" customHeight="false" outlineLevel="0" collapsed="false">
      <c r="A5" s="0" t="s">
        <v>178</v>
      </c>
      <c r="B5" s="0" t="s">
        <v>300</v>
      </c>
      <c r="C5" s="14" t="s">
        <v>301</v>
      </c>
      <c r="D5" s="14" t="s">
        <v>35</v>
      </c>
      <c r="E5" s="14" t="s">
        <v>84</v>
      </c>
      <c r="F5" s="14" t="s">
        <v>31</v>
      </c>
      <c r="G5" s="14" t="s">
        <v>75</v>
      </c>
      <c r="H5" s="12" t="n">
        <v>46337</v>
      </c>
      <c r="I5" s="12" t="n">
        <v>46259</v>
      </c>
      <c r="J5" s="0" t="n">
        <v>90</v>
      </c>
      <c r="K5" s="15" t="n">
        <f aca="false">IF(I5="","",I5+J5)</f>
        <v>46349</v>
      </c>
      <c r="L5" s="16" t="n">
        <f aca="true">IF(K5="","",K5-TODAY())</f>
        <v>25</v>
      </c>
      <c r="M5" s="17" t="n">
        <f aca="false">COUNTIF(Equipment!$K$5:$K$500,A5)</f>
        <v>1</v>
      </c>
      <c r="N5" s="17" t="n">
        <f aca="false">COUNTIFS(Equipment!$K$5:$K$500,A5,Equipment!$L$5:$L$500,"&lt;&gt;"&amp;F5)</f>
        <v>0</v>
      </c>
      <c r="O5" s="17" t="str">
        <f aca="false">TRIM(IF(C5="","Vehicle no. missing. ","")&amp;IF(F5="","No destination. ","")&amp;IF(N5&gt;0,N5&amp;" item(s) going elsewhere. ","")&amp;IF(L5&lt;0,"Service overdue. ",""))</f>
        <v/>
      </c>
    </row>
    <row r="6" customFormat="false" ht="16.4" hidden="false" customHeight="false" outlineLevel="0" collapsed="false">
      <c r="A6" s="0" t="s">
        <v>143</v>
      </c>
      <c r="B6" s="0" t="s">
        <v>302</v>
      </c>
      <c r="C6" s="14" t="s">
        <v>303</v>
      </c>
      <c r="D6" s="14" t="s">
        <v>38</v>
      </c>
      <c r="E6" s="14" t="s">
        <v>63</v>
      </c>
      <c r="F6" s="14" t="s">
        <v>44</v>
      </c>
      <c r="G6" s="14" t="s">
        <v>71</v>
      </c>
      <c r="H6" s="12" t="n">
        <v>46328</v>
      </c>
      <c r="I6" s="12" t="n">
        <v>46229</v>
      </c>
      <c r="J6" s="0" t="n">
        <v>120</v>
      </c>
      <c r="K6" s="15" t="n">
        <f aca="false">IF(I6="","",I6+J6)</f>
        <v>46349</v>
      </c>
      <c r="L6" s="16" t="n">
        <f aca="true">IF(K6="","",K6-TODAY())</f>
        <v>25</v>
      </c>
      <c r="M6" s="17" t="n">
        <f aca="false">COUNTIF(Equipment!$K$5:$K$500,A6)</f>
        <v>1</v>
      </c>
      <c r="N6" s="17" t="n">
        <f aca="false">COUNTIFS(Equipment!$K$5:$K$500,A6,Equipment!$L$5:$L$500,"&lt;&gt;"&amp;F6)</f>
        <v>0</v>
      </c>
      <c r="O6" s="17" t="str">
        <f aca="false">TRIM(IF(C6="","Vehicle no. missing. ","")&amp;IF(F6="","No destination. ","")&amp;IF(N6&gt;0,N6&amp;" item(s) going elsewhere. ","")&amp;IF(L6&lt;0,"Service overdue. ",""))</f>
        <v/>
      </c>
    </row>
    <row r="7" customFormat="false" ht="16.4" hidden="false" customHeight="false" outlineLevel="0" collapsed="false">
      <c r="A7" s="0" t="s">
        <v>201</v>
      </c>
      <c r="B7" s="0" t="s">
        <v>304</v>
      </c>
      <c r="C7" s="14" t="s">
        <v>305</v>
      </c>
      <c r="D7" s="14" t="s">
        <v>85</v>
      </c>
      <c r="E7" s="14" t="s">
        <v>79</v>
      </c>
      <c r="F7" s="14" t="s">
        <v>41</v>
      </c>
      <c r="G7" s="14" t="s">
        <v>71</v>
      </c>
      <c r="H7" s="12" t="n">
        <v>46340</v>
      </c>
      <c r="I7" s="12" t="n">
        <v>46281</v>
      </c>
      <c r="J7" s="0" t="n">
        <v>120</v>
      </c>
      <c r="K7" s="15" t="n">
        <f aca="false">IF(I7="","",I7+J7)</f>
        <v>46401</v>
      </c>
      <c r="L7" s="16" t="n">
        <f aca="true">IF(K7="","",K7-TODAY())</f>
        <v>77</v>
      </c>
      <c r="M7" s="17" t="n">
        <f aca="false">COUNTIF(Equipment!$K$5:$K$500,A7)</f>
        <v>1</v>
      </c>
      <c r="N7" s="17" t="n">
        <f aca="false">COUNTIFS(Equipment!$K$5:$K$500,A7,Equipment!$L$5:$L$500,"&lt;&gt;"&amp;F7)</f>
        <v>0</v>
      </c>
      <c r="O7" s="17" t="str">
        <f aca="false">TRIM(IF(C7="","Vehicle no. missing. ","")&amp;IF(F7="","No destination. ","")&amp;IF(N7&gt;0,N7&amp;" item(s) going elsewhere. ","")&amp;IF(L7&lt;0,"Service overdue. ",""))</f>
        <v/>
      </c>
    </row>
    <row r="8" customFormat="false" ht="16.4" hidden="false" customHeight="false" outlineLevel="0" collapsed="false">
      <c r="A8" s="0" t="s">
        <v>191</v>
      </c>
      <c r="B8" s="0" t="s">
        <v>300</v>
      </c>
      <c r="C8" s="14" t="s">
        <v>306</v>
      </c>
      <c r="D8" s="14" t="s">
        <v>85</v>
      </c>
      <c r="E8" s="14" t="s">
        <v>74</v>
      </c>
      <c r="F8" s="14" t="s">
        <v>39</v>
      </c>
      <c r="G8" s="14" t="s">
        <v>61</v>
      </c>
      <c r="H8" s="12" t="n">
        <v>46324</v>
      </c>
      <c r="I8" s="12" t="n">
        <v>46173</v>
      </c>
      <c r="J8" s="0" t="n">
        <v>120</v>
      </c>
      <c r="K8" s="15" t="n">
        <f aca="false">IF(I8="","",I8+J8)</f>
        <v>46293</v>
      </c>
      <c r="L8" s="16" t="n">
        <f aca="true">IF(K8="","",K8-TODAY())</f>
        <v>-31</v>
      </c>
      <c r="M8" s="17" t="n">
        <f aca="false">COUNTIF(Equipment!$K$5:$K$500,A8)</f>
        <v>2</v>
      </c>
      <c r="N8" s="17" t="n">
        <f aca="false">COUNTIFS(Equipment!$K$5:$K$500,A8,Equipment!$L$5:$L$500,"&lt;&gt;"&amp;F8)</f>
        <v>0</v>
      </c>
      <c r="O8" s="17" t="str">
        <f aca="false">TRIM(IF(C8="","Vehicle no. missing. ","")&amp;IF(F8="","No destination. ","")&amp;IF(N8&gt;0,N8&amp;" item(s) going elsewhere. ","")&amp;IF(L8&lt;0,"Service overdue. ",""))</f>
        <v>Service overdue.</v>
      </c>
    </row>
    <row r="9" customFormat="false" ht="16.4" hidden="false" customHeight="false" outlineLevel="0" collapsed="false">
      <c r="A9" s="0" t="s">
        <v>270</v>
      </c>
      <c r="B9" s="0" t="s">
        <v>304</v>
      </c>
      <c r="C9" s="14"/>
      <c r="D9" s="14" t="s">
        <v>81</v>
      </c>
      <c r="E9" s="14" t="s">
        <v>84</v>
      </c>
      <c r="F9" s="14" t="s">
        <v>36</v>
      </c>
      <c r="G9" s="14" t="s">
        <v>68</v>
      </c>
      <c r="H9" s="12" t="n">
        <v>46347</v>
      </c>
      <c r="I9" s="12" t="n">
        <v>46176</v>
      </c>
      <c r="J9" s="0" t="n">
        <v>180</v>
      </c>
      <c r="K9" s="15" t="n">
        <f aca="false">IF(I9="","",I9+J9)</f>
        <v>46356</v>
      </c>
      <c r="L9" s="16" t="n">
        <f aca="true">IF(K9="","",K9-TODAY())</f>
        <v>32</v>
      </c>
      <c r="M9" s="17" t="n">
        <f aca="false">COUNTIF(Equipment!$K$5:$K$500,A9)</f>
        <v>0</v>
      </c>
      <c r="N9" s="17" t="n">
        <f aca="false">COUNTIFS(Equipment!$K$5:$K$500,A9,Equipment!$L$5:$L$500,"&lt;&gt;"&amp;F9)</f>
        <v>0</v>
      </c>
      <c r="O9" s="17" t="str">
        <f aca="false">TRIM(IF(C9="","Vehicle no. missing. ","")&amp;IF(F9="","No destination. ","")&amp;IF(N9&gt;0,N9&amp;" item(s) going elsewhere. ","")&amp;IF(L9&lt;0,"Service overdue. ",""))</f>
        <v>Vehicle no. missing.</v>
      </c>
      <c r="P9" s="10" t="s">
        <v>307</v>
      </c>
    </row>
    <row r="10" customFormat="false" ht="16.4" hidden="false" customHeight="false" outlineLevel="0" collapsed="false">
      <c r="A10" s="0" t="s">
        <v>271</v>
      </c>
      <c r="B10" s="0" t="s">
        <v>308</v>
      </c>
      <c r="C10" s="14" t="s">
        <v>309</v>
      </c>
      <c r="D10" s="14" t="s">
        <v>81</v>
      </c>
      <c r="E10" s="14" t="s">
        <v>74</v>
      </c>
      <c r="F10" s="14" t="s">
        <v>33</v>
      </c>
      <c r="G10" s="14" t="s">
        <v>71</v>
      </c>
      <c r="H10" s="12" t="n">
        <v>46329</v>
      </c>
      <c r="I10" s="12" t="n">
        <v>46260</v>
      </c>
      <c r="J10" s="0" t="n">
        <v>90</v>
      </c>
      <c r="K10" s="15" t="n">
        <f aca="false">IF(I10="","",I10+J10)</f>
        <v>46350</v>
      </c>
      <c r="L10" s="16" t="n">
        <f aca="true">IF(K10="","",K10-TODAY())</f>
        <v>26</v>
      </c>
      <c r="M10" s="17" t="n">
        <f aca="false">COUNTIF(Equipment!$K$5:$K$500,A10)</f>
        <v>0</v>
      </c>
      <c r="N10" s="17" t="n">
        <f aca="false">COUNTIFS(Equipment!$K$5:$K$500,A10,Equipment!$L$5:$L$500,"&lt;&gt;"&amp;F10)</f>
        <v>0</v>
      </c>
      <c r="O10" s="17" t="str">
        <f aca="false">TRIM(IF(C10="","Vehicle no. missing. ","")&amp;IF(F10="","No destination. ","")&amp;IF(N10&gt;0,N10&amp;" item(s) going elsewhere. ","")&amp;IF(L10&lt;0,"Service overdue. ",""))</f>
        <v/>
      </c>
    </row>
    <row r="11" customFormat="false" ht="16.4" hidden="false" customHeight="false" outlineLevel="0" collapsed="false">
      <c r="A11" s="0" t="s">
        <v>242</v>
      </c>
      <c r="B11" s="0" t="s">
        <v>304</v>
      </c>
      <c r="C11" s="14" t="s">
        <v>310</v>
      </c>
      <c r="D11" s="14" t="s">
        <v>83</v>
      </c>
      <c r="E11" s="14" t="s">
        <v>67</v>
      </c>
      <c r="F11" s="14" t="s">
        <v>31</v>
      </c>
      <c r="G11" s="14" t="s">
        <v>64</v>
      </c>
      <c r="H11" s="12" t="n">
        <v>46334</v>
      </c>
      <c r="I11" s="12" t="n">
        <v>46205</v>
      </c>
      <c r="J11" s="0" t="n">
        <v>120</v>
      </c>
      <c r="K11" s="15" t="n">
        <f aca="false">IF(I11="","",I11+J11)</f>
        <v>46325</v>
      </c>
      <c r="L11" s="16" t="n">
        <f aca="true">IF(K11="","",K11-TODAY())</f>
        <v>1</v>
      </c>
      <c r="M11" s="17" t="n">
        <f aca="false">COUNTIF(Equipment!$K$5:$K$500,A11)</f>
        <v>2</v>
      </c>
      <c r="N11" s="17" t="n">
        <f aca="false">COUNTIFS(Equipment!$K$5:$K$500,A11,Equipment!$L$5:$L$500,"&lt;&gt;"&amp;F11)</f>
        <v>0</v>
      </c>
      <c r="O11" s="17" t="str">
        <f aca="false">TRIM(IF(C11="","Vehicle no. missing. ","")&amp;IF(F11="","No destination. ","")&amp;IF(N11&gt;0,N11&amp;" item(s) going elsewhere. ","")&amp;IF(L11&lt;0,"Service overdue. ",""))</f>
        <v/>
      </c>
    </row>
    <row r="12" customFormat="false" ht="16.4" hidden="false" customHeight="false" outlineLevel="0" collapsed="false">
      <c r="A12" s="0" t="s">
        <v>157</v>
      </c>
      <c r="B12" s="0" t="s">
        <v>304</v>
      </c>
      <c r="C12" s="14" t="s">
        <v>311</v>
      </c>
      <c r="D12" s="14" t="s">
        <v>83</v>
      </c>
      <c r="E12" s="14" t="s">
        <v>74</v>
      </c>
      <c r="F12" s="14" t="s">
        <v>44</v>
      </c>
      <c r="G12" s="14" t="s">
        <v>73</v>
      </c>
      <c r="H12" s="12" t="n">
        <v>46354</v>
      </c>
      <c r="I12" s="12" t="n">
        <v>46175</v>
      </c>
      <c r="J12" s="0" t="n">
        <v>90</v>
      </c>
      <c r="K12" s="15" t="n">
        <f aca="false">IF(I12="","",I12+J12)</f>
        <v>46265</v>
      </c>
      <c r="L12" s="16" t="n">
        <f aca="true">IF(K12="","",K12-TODAY())</f>
        <v>-59</v>
      </c>
      <c r="M12" s="17" t="n">
        <f aca="false">COUNTIF(Equipment!$K$5:$K$500,A12)</f>
        <v>1</v>
      </c>
      <c r="N12" s="17" t="n">
        <f aca="false">COUNTIFS(Equipment!$K$5:$K$500,A12,Equipment!$L$5:$L$500,"&lt;&gt;"&amp;F12)</f>
        <v>0</v>
      </c>
      <c r="O12" s="17" t="str">
        <f aca="false">TRIM(IF(C12="","Vehicle no. missing. ","")&amp;IF(F12="","No destination. ","")&amp;IF(N12&gt;0,N12&amp;" item(s) going elsewhere. ","")&amp;IF(L12&lt;0,"Service overdue. ",""))</f>
        <v>Service overdue.</v>
      </c>
    </row>
    <row r="13" customFormat="false" ht="16.4" hidden="false" customHeight="false" outlineLevel="0" collapsed="false">
      <c r="A13" s="0" t="s">
        <v>273</v>
      </c>
      <c r="B13" s="0" t="s">
        <v>300</v>
      </c>
      <c r="C13" s="14" t="s">
        <v>312</v>
      </c>
      <c r="D13" s="14" t="s">
        <v>85</v>
      </c>
      <c r="E13" s="14" t="s">
        <v>67</v>
      </c>
      <c r="F13" s="14" t="s">
        <v>41</v>
      </c>
      <c r="G13" s="14" t="s">
        <v>73</v>
      </c>
      <c r="H13" s="12" t="n">
        <v>46341</v>
      </c>
      <c r="I13" s="12" t="n">
        <v>46278</v>
      </c>
      <c r="J13" s="0" t="n">
        <v>120</v>
      </c>
      <c r="K13" s="15" t="n">
        <f aca="false">IF(I13="","",I13+J13)</f>
        <v>46398</v>
      </c>
      <c r="L13" s="16" t="n">
        <f aca="true">IF(K13="","",K13-TODAY())</f>
        <v>74</v>
      </c>
      <c r="M13" s="17" t="n">
        <f aca="false">COUNTIF(Equipment!$K$5:$K$500,A13)</f>
        <v>0</v>
      </c>
      <c r="N13" s="17" t="n">
        <f aca="false">COUNTIFS(Equipment!$K$5:$K$500,A13,Equipment!$L$5:$L$500,"&lt;&gt;"&amp;F13)</f>
        <v>0</v>
      </c>
      <c r="O13" s="17" t="str">
        <f aca="false">TRIM(IF(C13="","Vehicle no. missing. ","")&amp;IF(F13="","No destination. ","")&amp;IF(N13&gt;0,N13&amp;" item(s) going elsewhere. ","")&amp;IF(L13&lt;0,"Service overdue. ",""))</f>
        <v/>
      </c>
    </row>
    <row r="14" customFormat="false" ht="16.4" hidden="false" customHeight="false" outlineLevel="0" collapsed="false">
      <c r="A14" s="0" t="s">
        <v>148</v>
      </c>
      <c r="B14" s="0" t="s">
        <v>313</v>
      </c>
      <c r="C14" s="14"/>
      <c r="D14" s="14" t="s">
        <v>83</v>
      </c>
      <c r="E14" s="14" t="s">
        <v>60</v>
      </c>
      <c r="F14" s="14" t="s">
        <v>39</v>
      </c>
      <c r="G14" s="14" t="s">
        <v>64</v>
      </c>
      <c r="H14" s="12" t="n">
        <v>46328</v>
      </c>
      <c r="I14" s="12" t="n">
        <v>46163</v>
      </c>
      <c r="J14" s="0" t="n">
        <v>180</v>
      </c>
      <c r="K14" s="15" t="n">
        <f aca="false">IF(I14="","",I14+J14)</f>
        <v>46343</v>
      </c>
      <c r="L14" s="16" t="n">
        <f aca="true">IF(K14="","",K14-TODAY())</f>
        <v>19</v>
      </c>
      <c r="M14" s="17" t="n">
        <f aca="false">COUNTIF(Equipment!$K$5:$K$500,A14)</f>
        <v>1</v>
      </c>
      <c r="N14" s="17" t="n">
        <f aca="false">COUNTIFS(Equipment!$K$5:$K$500,A14,Equipment!$L$5:$L$500,"&lt;&gt;"&amp;F14)</f>
        <v>0</v>
      </c>
      <c r="O14" s="17" t="str">
        <f aca="false">TRIM(IF(C14="","Vehicle no. missing. ","")&amp;IF(F14="","No destination. ","")&amp;IF(N14&gt;0,N14&amp;" item(s) going elsewhere. ","")&amp;IF(L14&lt;0,"Service overdue. ",""))</f>
        <v>Vehicle no. missing.</v>
      </c>
      <c r="P14" s="10" t="s">
        <v>307</v>
      </c>
    </row>
    <row r="15" customFormat="false" ht="16.4" hidden="false" customHeight="false" outlineLevel="0" collapsed="false">
      <c r="A15" s="0" t="s">
        <v>274</v>
      </c>
      <c r="B15" s="0" t="s">
        <v>304</v>
      </c>
      <c r="C15" s="14" t="s">
        <v>314</v>
      </c>
      <c r="D15" s="14" t="s">
        <v>38</v>
      </c>
      <c r="E15" s="14" t="s">
        <v>79</v>
      </c>
      <c r="F15" s="14" t="s">
        <v>36</v>
      </c>
      <c r="G15" s="14" t="s">
        <v>64</v>
      </c>
      <c r="H15" s="12" t="n">
        <v>46335</v>
      </c>
      <c r="I15" s="12" t="n">
        <v>46176</v>
      </c>
      <c r="J15" s="0" t="n">
        <v>90</v>
      </c>
      <c r="K15" s="15" t="n">
        <f aca="false">IF(I15="","",I15+J15)</f>
        <v>46266</v>
      </c>
      <c r="L15" s="16" t="n">
        <f aca="true">IF(K15="","",K15-TODAY())</f>
        <v>-58</v>
      </c>
      <c r="M15" s="17" t="n">
        <f aca="false">COUNTIF(Equipment!$K$5:$K$500,A15)</f>
        <v>0</v>
      </c>
      <c r="N15" s="17" t="n">
        <f aca="false">COUNTIFS(Equipment!$K$5:$K$500,A15,Equipment!$L$5:$L$500,"&lt;&gt;"&amp;F15)</f>
        <v>0</v>
      </c>
      <c r="O15" s="17" t="str">
        <f aca="false">TRIM(IF(C15="","Vehicle no. missing. ","")&amp;IF(F15="","No destination. ","")&amp;IF(N15&gt;0,N15&amp;" item(s) going elsewhere. ","")&amp;IF(L15&lt;0,"Service overdue. ",""))</f>
        <v>Service overdue.</v>
      </c>
    </row>
    <row r="16" customFormat="false" ht="16.4" hidden="false" customHeight="false" outlineLevel="0" collapsed="false">
      <c r="A16" s="0" t="s">
        <v>275</v>
      </c>
      <c r="B16" s="0" t="s">
        <v>300</v>
      </c>
      <c r="C16" s="14" t="s">
        <v>315</v>
      </c>
      <c r="D16" s="14" t="s">
        <v>85</v>
      </c>
      <c r="E16" s="14" t="s">
        <v>70</v>
      </c>
      <c r="F16" s="14" t="s">
        <v>33</v>
      </c>
      <c r="G16" s="14" t="s">
        <v>80</v>
      </c>
      <c r="H16" s="12" t="n">
        <v>46339</v>
      </c>
      <c r="I16" s="12" t="n">
        <v>46136</v>
      </c>
      <c r="J16" s="0" t="n">
        <v>180</v>
      </c>
      <c r="K16" s="15" t="n">
        <f aca="false">IF(I16="","",I16+J16)</f>
        <v>46316</v>
      </c>
      <c r="L16" s="16" t="n">
        <f aca="true">IF(K16="","",K16-TODAY())</f>
        <v>-8</v>
      </c>
      <c r="M16" s="17" t="n">
        <f aca="false">COUNTIF(Equipment!$K$5:$K$500,A16)</f>
        <v>0</v>
      </c>
      <c r="N16" s="17" t="n">
        <f aca="false">COUNTIFS(Equipment!$K$5:$K$500,A16,Equipment!$L$5:$L$500,"&lt;&gt;"&amp;F16)</f>
        <v>0</v>
      </c>
      <c r="O16" s="17" t="str">
        <f aca="false">TRIM(IF(C16="","Vehicle no. missing. ","")&amp;IF(F16="","No destination. ","")&amp;IF(N16&gt;0,N16&amp;" item(s) going elsewhere. ","")&amp;IF(L16&lt;0,"Service overdue. ",""))</f>
        <v>Service overdue.</v>
      </c>
    </row>
    <row r="17" customFormat="false" ht="15" hidden="false" customHeight="false" outlineLevel="0" collapsed="false">
      <c r="C17" s="14"/>
      <c r="D17" s="14"/>
      <c r="E17" s="14"/>
      <c r="F17" s="14"/>
      <c r="G17" s="14"/>
      <c r="K17" s="16"/>
      <c r="L17" s="16"/>
      <c r="M17" s="17"/>
      <c r="N17" s="17"/>
      <c r="O17" s="17"/>
    </row>
    <row r="18" customFormat="false" ht="15" hidden="false" customHeight="false" outlineLevel="0" collapsed="false">
      <c r="C18" s="14"/>
      <c r="D18" s="14"/>
      <c r="E18" s="14"/>
      <c r="F18" s="14"/>
      <c r="G18" s="14"/>
      <c r="K18" s="16"/>
      <c r="L18" s="16"/>
      <c r="M18" s="17"/>
      <c r="N18" s="17"/>
      <c r="O18" s="17"/>
    </row>
    <row r="19" customFormat="false" ht="15" hidden="false" customHeight="false" outlineLevel="0" collapsed="false">
      <c r="C19" s="14"/>
      <c r="D19" s="14"/>
      <c r="E19" s="14"/>
      <c r="F19" s="14"/>
      <c r="G19" s="14"/>
      <c r="K19" s="16"/>
      <c r="L19" s="16"/>
      <c r="M19" s="17"/>
      <c r="N19" s="17"/>
      <c r="O19" s="17"/>
    </row>
    <row r="20" customFormat="false" ht="15" hidden="false" customHeight="false" outlineLevel="0" collapsed="false">
      <c r="C20" s="14"/>
      <c r="D20" s="14"/>
      <c r="E20" s="14"/>
      <c r="F20" s="14"/>
      <c r="G20" s="14"/>
      <c r="K20" s="16"/>
      <c r="L20" s="16"/>
      <c r="M20" s="17"/>
      <c r="N20" s="17"/>
      <c r="O20" s="17"/>
    </row>
    <row r="21" customFormat="false" ht="15" hidden="false" customHeight="false" outlineLevel="0" collapsed="false">
      <c r="C21" s="14"/>
      <c r="D21" s="14"/>
      <c r="E21" s="14"/>
      <c r="F21" s="14"/>
      <c r="G21" s="14"/>
      <c r="K21" s="16"/>
      <c r="L21" s="16"/>
      <c r="M21" s="17"/>
      <c r="N21" s="17"/>
      <c r="O21" s="17"/>
    </row>
    <row r="22" customFormat="false" ht="15" hidden="false" customHeight="false" outlineLevel="0" collapsed="false">
      <c r="C22" s="14"/>
      <c r="D22" s="14"/>
      <c r="E22" s="14"/>
      <c r="F22" s="14"/>
      <c r="G22" s="14"/>
      <c r="K22" s="16"/>
      <c r="L22" s="16"/>
      <c r="M22" s="17"/>
      <c r="N22" s="17"/>
      <c r="O22" s="17"/>
    </row>
    <row r="23" customFormat="false" ht="15" hidden="false" customHeight="false" outlineLevel="0" collapsed="false">
      <c r="C23" s="14"/>
      <c r="D23" s="14"/>
      <c r="E23" s="14"/>
      <c r="F23" s="14"/>
      <c r="G23" s="14"/>
      <c r="K23" s="16"/>
      <c r="L23" s="16"/>
      <c r="M23" s="17"/>
      <c r="N23" s="17"/>
      <c r="O23" s="17"/>
    </row>
    <row r="24" customFormat="false" ht="15" hidden="false" customHeight="false" outlineLevel="0" collapsed="false">
      <c r="C24" s="14"/>
      <c r="D24" s="14"/>
      <c r="E24" s="14"/>
      <c r="F24" s="14"/>
      <c r="G24" s="14"/>
      <c r="K24" s="16"/>
      <c r="L24" s="16"/>
      <c r="M24" s="17"/>
      <c r="N24" s="17"/>
      <c r="O24" s="17"/>
    </row>
    <row r="25" customFormat="false" ht="15" hidden="false" customHeight="false" outlineLevel="0" collapsed="false">
      <c r="C25" s="14"/>
      <c r="D25" s="14"/>
      <c r="E25" s="14"/>
      <c r="F25" s="14"/>
      <c r="G25" s="14"/>
      <c r="K25" s="16"/>
      <c r="L25" s="16"/>
      <c r="M25" s="17"/>
      <c r="N25" s="17"/>
      <c r="O25" s="17"/>
    </row>
    <row r="26" customFormat="false" ht="15" hidden="false" customHeight="false" outlineLevel="0" collapsed="false">
      <c r="C26" s="14"/>
      <c r="D26" s="14"/>
      <c r="E26" s="14"/>
      <c r="F26" s="14"/>
      <c r="G26" s="14"/>
      <c r="K26" s="16"/>
      <c r="L26" s="16"/>
      <c r="M26" s="17"/>
      <c r="N26" s="17"/>
      <c r="O26" s="17"/>
    </row>
    <row r="27" customFormat="false" ht="15" hidden="false" customHeight="false" outlineLevel="0" collapsed="false">
      <c r="C27" s="14"/>
      <c r="D27" s="14"/>
      <c r="E27" s="14"/>
      <c r="F27" s="14"/>
      <c r="G27" s="14"/>
      <c r="K27" s="16"/>
      <c r="L27" s="16"/>
      <c r="M27" s="17"/>
      <c r="N27" s="17"/>
      <c r="O27" s="17"/>
    </row>
    <row r="28" customFormat="false" ht="15" hidden="false" customHeight="false" outlineLevel="0" collapsed="false">
      <c r="C28" s="14"/>
      <c r="D28" s="14"/>
      <c r="E28" s="14"/>
      <c r="F28" s="14"/>
      <c r="G28" s="14"/>
      <c r="K28" s="16"/>
      <c r="L28" s="16"/>
      <c r="M28" s="17"/>
      <c r="N28" s="17"/>
      <c r="O28" s="17"/>
    </row>
    <row r="29" customFormat="false" ht="15" hidden="false" customHeight="false" outlineLevel="0" collapsed="false">
      <c r="C29" s="14"/>
      <c r="D29" s="14"/>
      <c r="E29" s="14"/>
      <c r="F29" s="14"/>
      <c r="G29" s="14"/>
      <c r="K29" s="16"/>
      <c r="L29" s="16"/>
      <c r="M29" s="17"/>
      <c r="N29" s="17"/>
      <c r="O29" s="17"/>
    </row>
    <row r="30" customFormat="false" ht="15" hidden="false" customHeight="false" outlineLevel="0" collapsed="false">
      <c r="C30" s="14"/>
      <c r="D30" s="14"/>
      <c r="E30" s="14"/>
      <c r="F30" s="14"/>
      <c r="G30" s="14"/>
      <c r="K30" s="16"/>
      <c r="L30" s="16"/>
      <c r="M30" s="17"/>
      <c r="N30" s="17"/>
      <c r="O30" s="17"/>
    </row>
    <row r="31" customFormat="false" ht="15" hidden="false" customHeight="false" outlineLevel="0" collapsed="false">
      <c r="C31" s="14"/>
      <c r="D31" s="14"/>
      <c r="E31" s="14"/>
      <c r="F31" s="14"/>
      <c r="G31" s="14"/>
      <c r="K31" s="16"/>
      <c r="L31" s="16"/>
      <c r="M31" s="17"/>
      <c r="N31" s="17"/>
      <c r="O31" s="17"/>
    </row>
    <row r="32" customFormat="false" ht="15" hidden="false" customHeight="false" outlineLevel="0" collapsed="false">
      <c r="C32" s="14"/>
      <c r="D32" s="14"/>
      <c r="E32" s="14"/>
      <c r="F32" s="14"/>
      <c r="G32" s="14"/>
      <c r="K32" s="16"/>
      <c r="L32" s="16"/>
      <c r="M32" s="17"/>
      <c r="N32" s="17"/>
      <c r="O32" s="17"/>
    </row>
    <row r="33" customFormat="false" ht="15" hidden="false" customHeight="false" outlineLevel="0" collapsed="false">
      <c r="C33" s="14"/>
      <c r="D33" s="14"/>
      <c r="E33" s="14"/>
      <c r="F33" s="14"/>
      <c r="G33" s="14"/>
      <c r="K33" s="16"/>
      <c r="L33" s="16"/>
      <c r="M33" s="17"/>
      <c r="N33" s="17"/>
      <c r="O33" s="17"/>
    </row>
    <row r="34" customFormat="false" ht="15" hidden="false" customHeight="false" outlineLevel="0" collapsed="false">
      <c r="C34" s="14"/>
      <c r="D34" s="14"/>
      <c r="E34" s="14"/>
      <c r="F34" s="14"/>
      <c r="G34" s="14"/>
      <c r="K34" s="16"/>
      <c r="L34" s="16"/>
      <c r="M34" s="17"/>
      <c r="N34" s="17"/>
      <c r="O34" s="17"/>
    </row>
    <row r="35" customFormat="false" ht="15" hidden="false" customHeight="false" outlineLevel="0" collapsed="false">
      <c r="C35" s="14"/>
      <c r="D35" s="14"/>
      <c r="E35" s="14"/>
      <c r="F35" s="14"/>
      <c r="G35" s="14"/>
      <c r="K35" s="16"/>
      <c r="L35" s="16"/>
      <c r="M35" s="17"/>
      <c r="N35" s="17"/>
      <c r="O35" s="17"/>
    </row>
    <row r="36" customFormat="false" ht="15" hidden="false" customHeight="false" outlineLevel="0" collapsed="false">
      <c r="C36" s="14"/>
      <c r="D36" s="14"/>
      <c r="E36" s="14"/>
      <c r="F36" s="14"/>
      <c r="G36" s="14"/>
      <c r="K36" s="16"/>
      <c r="L36" s="16"/>
      <c r="M36" s="17"/>
      <c r="N36" s="17"/>
      <c r="O36" s="17"/>
    </row>
    <row r="37" customFormat="false" ht="15" hidden="false" customHeight="false" outlineLevel="0" collapsed="false">
      <c r="C37" s="14"/>
      <c r="D37" s="14"/>
      <c r="E37" s="14"/>
      <c r="F37" s="14"/>
      <c r="G37" s="14"/>
      <c r="K37" s="16"/>
      <c r="L37" s="16"/>
      <c r="M37" s="17"/>
      <c r="N37" s="17"/>
      <c r="O37" s="17"/>
    </row>
    <row r="38" customFormat="false" ht="15" hidden="false" customHeight="false" outlineLevel="0" collapsed="false">
      <c r="C38" s="14"/>
      <c r="D38" s="14"/>
      <c r="E38" s="14"/>
      <c r="F38" s="14"/>
      <c r="G38" s="14"/>
      <c r="K38" s="16"/>
      <c r="L38" s="16"/>
      <c r="M38" s="17"/>
      <c r="N38" s="17"/>
      <c r="O38" s="17"/>
    </row>
    <row r="39" customFormat="false" ht="15" hidden="false" customHeight="false" outlineLevel="0" collapsed="false">
      <c r="C39" s="14"/>
      <c r="D39" s="14"/>
      <c r="E39" s="14"/>
      <c r="F39" s="14"/>
      <c r="G39" s="14"/>
      <c r="K39" s="16"/>
      <c r="L39" s="16"/>
      <c r="M39" s="17"/>
      <c r="N39" s="17"/>
      <c r="O39" s="17"/>
    </row>
    <row r="40" customFormat="false" ht="15" hidden="false" customHeight="false" outlineLevel="0" collapsed="false">
      <c r="C40" s="14"/>
      <c r="D40" s="14"/>
      <c r="E40" s="14"/>
      <c r="F40" s="14"/>
      <c r="G40" s="14"/>
      <c r="K40" s="16"/>
      <c r="L40" s="16"/>
      <c r="M40" s="17"/>
      <c r="N40" s="17"/>
      <c r="O40" s="17"/>
    </row>
    <row r="41" customFormat="false" ht="15" hidden="false" customHeight="false" outlineLevel="0" collapsed="false">
      <c r="C41" s="14"/>
      <c r="D41" s="14"/>
      <c r="E41" s="14"/>
      <c r="F41" s="14"/>
      <c r="G41" s="14"/>
      <c r="K41" s="16"/>
      <c r="L41" s="16"/>
      <c r="M41" s="17"/>
      <c r="N41" s="17"/>
      <c r="O41" s="17"/>
    </row>
    <row r="42" customFormat="false" ht="15" hidden="false" customHeight="false" outlineLevel="0" collapsed="false">
      <c r="C42" s="14"/>
      <c r="D42" s="14"/>
      <c r="E42" s="14"/>
      <c r="F42" s="14"/>
      <c r="G42" s="14"/>
      <c r="K42" s="16"/>
      <c r="L42" s="16"/>
      <c r="M42" s="17"/>
      <c r="N42" s="17"/>
      <c r="O42" s="17"/>
    </row>
    <row r="43" customFormat="false" ht="15" hidden="false" customHeight="false" outlineLevel="0" collapsed="false">
      <c r="C43" s="14"/>
      <c r="D43" s="14"/>
      <c r="E43" s="14"/>
      <c r="F43" s="14"/>
      <c r="G43" s="14"/>
      <c r="K43" s="16"/>
      <c r="L43" s="16"/>
      <c r="M43" s="17"/>
      <c r="N43" s="17"/>
      <c r="O43" s="17"/>
    </row>
    <row r="44" customFormat="false" ht="15" hidden="false" customHeight="false" outlineLevel="0" collapsed="false">
      <c r="C44" s="14"/>
      <c r="D44" s="14"/>
      <c r="E44" s="14"/>
      <c r="F44" s="14"/>
      <c r="G44" s="14"/>
      <c r="K44" s="16"/>
      <c r="L44" s="16"/>
      <c r="M44" s="17"/>
      <c r="N44" s="17"/>
      <c r="O44" s="17"/>
    </row>
    <row r="45" customFormat="false" ht="15" hidden="false" customHeight="false" outlineLevel="0" collapsed="false">
      <c r="C45" s="14"/>
      <c r="D45" s="14"/>
      <c r="E45" s="14"/>
      <c r="F45" s="14"/>
      <c r="G45" s="14"/>
      <c r="K45" s="16"/>
      <c r="L45" s="16"/>
      <c r="M45" s="17"/>
      <c r="N45" s="17"/>
      <c r="O45" s="17"/>
    </row>
    <row r="46" customFormat="false" ht="15" hidden="false" customHeight="false" outlineLevel="0" collapsed="false">
      <c r="C46" s="14"/>
      <c r="D46" s="14"/>
      <c r="E46" s="14"/>
      <c r="F46" s="14"/>
      <c r="G46" s="14"/>
      <c r="K46" s="16"/>
      <c r="L46" s="16"/>
      <c r="M46" s="17"/>
      <c r="N46" s="17"/>
      <c r="O46" s="17"/>
    </row>
    <row r="47" customFormat="false" ht="15" hidden="false" customHeight="false" outlineLevel="0" collapsed="false">
      <c r="C47" s="14"/>
      <c r="D47" s="14"/>
      <c r="E47" s="14"/>
      <c r="F47" s="14"/>
      <c r="G47" s="14"/>
      <c r="K47" s="16"/>
      <c r="L47" s="16"/>
      <c r="M47" s="17"/>
      <c r="N47" s="17"/>
      <c r="O47" s="17"/>
    </row>
    <row r="48" customFormat="false" ht="15" hidden="false" customHeight="false" outlineLevel="0" collapsed="false">
      <c r="C48" s="14"/>
      <c r="D48" s="14"/>
      <c r="E48" s="14"/>
      <c r="F48" s="14"/>
      <c r="G48" s="14"/>
      <c r="K48" s="16"/>
      <c r="L48" s="16"/>
      <c r="M48" s="17"/>
      <c r="N48" s="17"/>
      <c r="O48" s="17"/>
    </row>
    <row r="49" customFormat="false" ht="15" hidden="false" customHeight="false" outlineLevel="0" collapsed="false">
      <c r="C49" s="14"/>
      <c r="D49" s="14"/>
      <c r="E49" s="14"/>
      <c r="F49" s="14"/>
      <c r="G49" s="14"/>
      <c r="K49" s="16"/>
      <c r="L49" s="16"/>
      <c r="M49" s="17"/>
      <c r="N49" s="17"/>
      <c r="O49" s="17"/>
    </row>
    <row r="50" customFormat="false" ht="15" hidden="false" customHeight="false" outlineLevel="0" collapsed="false">
      <c r="C50" s="14"/>
      <c r="D50" s="14"/>
      <c r="E50" s="14"/>
      <c r="F50" s="14"/>
      <c r="G50" s="14"/>
      <c r="K50" s="16"/>
      <c r="L50" s="16"/>
      <c r="M50" s="17"/>
      <c r="N50" s="17"/>
      <c r="O50" s="17"/>
    </row>
    <row r="51" customFormat="false" ht="15" hidden="false" customHeight="false" outlineLevel="0" collapsed="false">
      <c r="C51" s="14"/>
      <c r="D51" s="14"/>
      <c r="E51" s="14"/>
      <c r="F51" s="14"/>
      <c r="G51" s="14"/>
      <c r="K51" s="16"/>
      <c r="L51" s="16"/>
      <c r="M51" s="17"/>
      <c r="N51" s="17"/>
      <c r="O51" s="17"/>
    </row>
    <row r="52" customFormat="false" ht="15" hidden="false" customHeight="false" outlineLevel="0" collapsed="false">
      <c r="C52" s="14"/>
      <c r="D52" s="14"/>
      <c r="E52" s="14"/>
      <c r="F52" s="14"/>
      <c r="G52" s="14"/>
      <c r="K52" s="16"/>
      <c r="L52" s="16"/>
      <c r="M52" s="17"/>
      <c r="N52" s="17"/>
      <c r="O52" s="17"/>
    </row>
    <row r="53" customFormat="false" ht="15" hidden="false" customHeight="false" outlineLevel="0" collapsed="false">
      <c r="C53" s="14"/>
      <c r="D53" s="14"/>
      <c r="E53" s="14"/>
      <c r="F53" s="14"/>
      <c r="G53" s="14"/>
      <c r="K53" s="16"/>
      <c r="L53" s="16"/>
      <c r="M53" s="17"/>
      <c r="N53" s="17"/>
      <c r="O53" s="17"/>
    </row>
    <row r="54" customFormat="false" ht="15" hidden="false" customHeight="false" outlineLevel="0" collapsed="false">
      <c r="C54" s="14"/>
      <c r="D54" s="14"/>
      <c r="E54" s="14"/>
      <c r="F54" s="14"/>
      <c r="G54" s="14"/>
      <c r="K54" s="16"/>
      <c r="L54" s="16"/>
      <c r="M54" s="17"/>
      <c r="N54" s="17"/>
      <c r="O54" s="17"/>
    </row>
    <row r="55" customFormat="false" ht="15" hidden="false" customHeight="false" outlineLevel="0" collapsed="false">
      <c r="C55" s="14"/>
      <c r="D55" s="14"/>
      <c r="E55" s="14"/>
      <c r="F55" s="14"/>
      <c r="G55" s="14"/>
      <c r="K55" s="16"/>
      <c r="L55" s="16"/>
      <c r="M55" s="17"/>
      <c r="N55" s="17"/>
      <c r="O55" s="17"/>
    </row>
    <row r="56" customFormat="false" ht="15" hidden="false" customHeight="false" outlineLevel="0" collapsed="false">
      <c r="C56" s="14"/>
      <c r="D56" s="14"/>
      <c r="E56" s="14"/>
      <c r="F56" s="14"/>
      <c r="G56" s="14"/>
      <c r="K56" s="16"/>
      <c r="L56" s="16"/>
      <c r="M56" s="17"/>
      <c r="N56" s="17"/>
      <c r="O56" s="17"/>
    </row>
    <row r="57" customFormat="false" ht="15" hidden="false" customHeight="false" outlineLevel="0" collapsed="false">
      <c r="C57" s="14"/>
      <c r="D57" s="14"/>
      <c r="E57" s="14"/>
      <c r="F57" s="14"/>
      <c r="G57" s="14"/>
      <c r="K57" s="16"/>
      <c r="L57" s="16"/>
      <c r="M57" s="17"/>
      <c r="N57" s="17"/>
      <c r="O57" s="17"/>
    </row>
    <row r="58" customFormat="false" ht="15" hidden="false" customHeight="false" outlineLevel="0" collapsed="false">
      <c r="C58" s="14"/>
      <c r="D58" s="14"/>
      <c r="E58" s="14"/>
      <c r="F58" s="14"/>
      <c r="G58" s="14"/>
      <c r="K58" s="16"/>
      <c r="L58" s="16"/>
      <c r="M58" s="17"/>
      <c r="N58" s="17"/>
      <c r="O58" s="17"/>
    </row>
    <row r="59" customFormat="false" ht="15" hidden="false" customHeight="false" outlineLevel="0" collapsed="false">
      <c r="C59" s="14"/>
      <c r="D59" s="14"/>
      <c r="E59" s="14"/>
      <c r="F59" s="14"/>
      <c r="G59" s="14"/>
      <c r="K59" s="16"/>
      <c r="L59" s="16"/>
      <c r="M59" s="17"/>
      <c r="N59" s="17"/>
      <c r="O59" s="17"/>
    </row>
    <row r="60" customFormat="false" ht="15" hidden="false" customHeight="false" outlineLevel="0" collapsed="false">
      <c r="C60" s="14"/>
      <c r="D60" s="14"/>
      <c r="E60" s="14"/>
      <c r="F60" s="14"/>
      <c r="G60" s="14"/>
      <c r="K60" s="16"/>
      <c r="L60" s="16"/>
      <c r="M60" s="17"/>
      <c r="N60" s="17"/>
      <c r="O60" s="17"/>
    </row>
  </sheetData>
  <conditionalFormatting sqref="K5:L60">
    <cfRule type="expression" priority="2" aboveAverage="0" equalAverage="0" bottom="0" percent="0" rank="0" text="" dxfId="0">
      <formula>AND($L5&lt;&gt;"",N($L5)&lt;0)</formula>
    </cfRule>
    <cfRule type="expression" priority="3" aboveAverage="0" equalAverage="0" bottom="0" percent="0" rank="0" text="" dxfId="9">
      <formula>AND($L5&lt;&gt;"",N($L5)&gt;=0,N($L5)&lt;=30)</formula>
    </cfRule>
  </conditionalFormatting>
  <conditionalFormatting sqref="O5:O60">
    <cfRule type="expression" priority="4" aboveAverage="0" equalAverage="0" bottom="0" percent="0" rank="0" text="" dxfId="0">
      <formula>LEN($O5)&gt;0</formula>
    </cfRule>
  </conditionalFormatting>
  <conditionalFormatting sqref="C5:C60">
    <cfRule type="expression" priority="5" aboveAverage="0" equalAverage="0" bottom="0" percent="0" rank="0" text="" dxfId="9">
      <formula>AND($A5&lt;&gt;"",$C5="")</formula>
    </cfRule>
  </conditionalFormatting>
  <conditionalFormatting sqref="D5:D60">
    <cfRule type="cellIs" priority="6" operator="equal" aboveAverage="0" equalAverage="0" bottom="0" percent="0" rank="0" text="" dxfId="10">
      <formula>"Delivered"</formula>
    </cfRule>
  </conditionalFormatting>
  <dataValidations count="4">
    <dataValidation allowBlank="true" error="Pick a value from the Storage locations list (sheet Lists)." errorStyle="stop" errorTitle="Not in list" operator="between" showDropDown="false" showErrorMessage="true" showInputMessage="false" sqref="E5:E60" type="list">
      <formula1>Lists!$A$2:$A$30</formula1>
      <formula2>0</formula2>
    </dataValidation>
    <dataValidation allowBlank="true" error="Pick a value from the Destinations list (sheet Lists)." errorStyle="stop" errorTitle="Not in list" operator="between" showDropDown="false" showErrorMessage="true" showInputMessage="false" sqref="F5:F60" type="list">
      <formula1>Lists!$B$2:$B$30</formula1>
      <formula2>0</formula2>
    </dataValidation>
    <dataValidation allowBlank="true" error="Pick a value from the People list (sheet Lists)." errorStyle="stop" errorTitle="Not in list" operator="between" showDropDown="false" showErrorMessage="true" showInputMessage="false" sqref="G5:G60" type="list">
      <formula1>Lists!$C$2:$C$30</formula1>
      <formula2>0</formula2>
    </dataValidation>
    <dataValidation allowBlank="true" error="Pick a value from the Vehicle status list (sheet Lists)." errorStyle="stop" errorTitle="Not in list" operator="between" showDropDown="false" showErrorMessage="true" showInputMessage="false" sqref="D5:D60" type="list">
      <formula1>Lists!$G$2:$G$30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2026-10-29T00:29:19Z</dcterms:created>
  <dc:creator>openpyxl</dc:creator>
  <dc:description/>
  <dc:language>en-US</dc:language>
  <cp:lastModifiedBy/>
  <dcterms:modified xsi:type="dcterms:W3CDTF">2026-10-29T00:29:19Z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